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ADU\RADU SERV\primarii\EFORIE\ASISTENTA CURENTA\IMPRUMUTURI NOI\IMPRUMUT 2026\HCL IMPRUMUT\"/>
    </mc:Choice>
  </mc:AlternateContent>
  <xr:revisionPtr revIDLastSave="0" documentId="8_{4E7E1D2E-A356-4EF7-9052-39C16433BF9A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Eximbank 4" sheetId="22" r:id="rId1"/>
    <sheet name="credit eximbank 85" sheetId="24" r:id="rId2"/>
    <sheet name="CREDIT ref 7.2 MIO" sheetId="27" r:id="rId3"/>
    <sheet name="credit nou fd UE 7.5 mio" sheetId="28" r:id="rId4"/>
    <sheet name="UNICREDIT 2024" sheetId="33" r:id="rId5"/>
    <sheet name="credit trezo 2025" sheetId="34" r:id="rId6"/>
    <sheet name="credit nou 2026" sheetId="36" r:id="rId7"/>
    <sheet name="anexa 1.3" sheetId="17" r:id="rId8"/>
    <sheet name="centralizare credite" sheetId="6" r:id="rId9"/>
    <sheet name="grad indatorare" sheetId="5" r:id="rId10"/>
    <sheet name="anexa 1.4" sheetId="2" r:id="rId11"/>
    <sheet name="serv datoriei 2021-2023" sheetId="20" r:id="rId12"/>
    <sheet name="serv datoriei" sheetId="11" r:id="rId13"/>
    <sheet name="1.2 fara fonduri ue" sheetId="29" r:id="rId14"/>
    <sheet name="SD Eforie 10 ani" sheetId="15" r:id="rId15"/>
    <sheet name="2025" sheetId="37" r:id="rId16"/>
    <sheet name="dec 2024" sheetId="39" r:id="rId17"/>
    <sheet name="2023" sheetId="3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_ftn1" localSheetId="13">'1.2 fara fonduri ue'!#REF!</definedName>
    <definedName name="_ftn1" localSheetId="7">'anexa 1.3'!#REF!</definedName>
    <definedName name="_ftn1" localSheetId="9">'grad indatorare'!#REF!</definedName>
    <definedName name="_ftnref1" localSheetId="13">'1.2 fara fonduri ue'!#REF!</definedName>
    <definedName name="_ftnref1" localSheetId="7">'anexa 1.3'!#REF!</definedName>
    <definedName name="_ftnref1" localSheetId="9">'grad indatorare'!#REF!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10" hidden="1">{#N/A,#N/A,FALSE,"Fund-II"}</definedName>
    <definedName name="aaa" localSheetId="1" hidden="1">{#N/A,#N/A,FALSE,"Fund-II"}</definedName>
    <definedName name="aaa" localSheetId="6" hidden="1">{#N/A,#N/A,FALSE,"Fund-II"}</definedName>
    <definedName name="aaa" localSheetId="3" hidden="1">{#N/A,#N/A,FALSE,"Fund-II"}</definedName>
    <definedName name="aaa" localSheetId="2" hidden="1">{#N/A,#N/A,FALSE,"Fund-II"}</definedName>
    <definedName name="aaa" localSheetId="5" hidden="1">{#N/A,#N/A,FALSE,"Fund-II"}</definedName>
    <definedName name="aaa" localSheetId="0" hidden="1">{#N/A,#N/A,FALSE,"Fund-II"}</definedName>
    <definedName name="aaa" localSheetId="9" hidden="1">{#N/A,#N/A,FALSE,"Fund-II"}</definedName>
    <definedName name="aaa" localSheetId="14" hidden="1">{#N/A,#N/A,FALSE,"Fund-II"}</definedName>
    <definedName name="aaa" localSheetId="4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13">#REF!</definedName>
    <definedName name="as" localSheetId="7">#REF!</definedName>
    <definedName name="as" localSheetId="1">#REF!</definedName>
    <definedName name="as" localSheetId="6">#REF!</definedName>
    <definedName name="as" localSheetId="2">#REF!</definedName>
    <definedName name="as" localSheetId="5">#REF!</definedName>
    <definedName name="as" localSheetId="0">#REF!</definedName>
    <definedName name="as" localSheetId="14">#REF!</definedName>
    <definedName name="as" localSheetId="11">#REF!</definedName>
    <definedName name="as" localSheetId="4">#REF!</definedName>
    <definedName name="as">#REF!</definedName>
    <definedName name="asd" localSheetId="13">#REF!</definedName>
    <definedName name="asd" localSheetId="7">#REF!</definedName>
    <definedName name="asd" localSheetId="1">#REF!</definedName>
    <definedName name="asd" localSheetId="6">#REF!</definedName>
    <definedName name="asd" localSheetId="2">#REF!</definedName>
    <definedName name="asd" localSheetId="5">#REF!</definedName>
    <definedName name="asd" localSheetId="0">#REF!</definedName>
    <definedName name="asd" localSheetId="11">#REF!</definedName>
    <definedName name="asd" localSheetId="4">#REF!</definedName>
    <definedName name="asd">#REF!</definedName>
    <definedName name="asdasd" localSheetId="13">#REF!</definedName>
    <definedName name="asdasd" localSheetId="7">#REF!</definedName>
    <definedName name="asdasd" localSheetId="1">#REF!</definedName>
    <definedName name="asdasd" localSheetId="6">#REF!</definedName>
    <definedName name="asdasd" localSheetId="2">#REF!</definedName>
    <definedName name="asdasd" localSheetId="5">#REF!</definedName>
    <definedName name="asdasd" localSheetId="0">#REF!</definedName>
    <definedName name="asdasd" localSheetId="11">#REF!</definedName>
    <definedName name="asdasd" localSheetId="4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10" hidden="1">{#N/A,#N/A,FALSE,"Fund-II"}</definedName>
    <definedName name="bbb" localSheetId="1" hidden="1">{#N/A,#N/A,FALSE,"Fund-II"}</definedName>
    <definedName name="bbb" localSheetId="6" hidden="1">{#N/A,#N/A,FALSE,"Fund-II"}</definedName>
    <definedName name="bbb" localSheetId="3" hidden="1">{#N/A,#N/A,FALSE,"Fund-II"}</definedName>
    <definedName name="bbb" localSheetId="2" hidden="1">{#N/A,#N/A,FALSE,"Fund-II"}</definedName>
    <definedName name="bbb" localSheetId="5" hidden="1">{#N/A,#N/A,FALSE,"Fund-II"}</definedName>
    <definedName name="bbb" localSheetId="0" hidden="1">{#N/A,#N/A,FALSE,"Fund-II"}</definedName>
    <definedName name="bbb" localSheetId="9" hidden="1">{#N/A,#N/A,FALSE,"Fund-II"}</definedName>
    <definedName name="bbb" localSheetId="14" hidden="1">{#N/A,#N/A,FALSE,"Fund-II"}</definedName>
    <definedName name="bbb" localSheetId="4" hidden="1">{#N/A,#N/A,FALSE,"Fund-II"}</definedName>
    <definedName name="bbb" hidden="1">{#N/A,#N/A,FALSE,"Fund-II"}</definedName>
    <definedName name="BMS_Tot_Cost" localSheetId="13">#REF!</definedName>
    <definedName name="BMS_Tot_Cost" localSheetId="7">#REF!</definedName>
    <definedName name="BMS_Tot_Cost" localSheetId="1">#REF!</definedName>
    <definedName name="BMS_Tot_Cost" localSheetId="6">#REF!</definedName>
    <definedName name="BMS_Tot_Cost" localSheetId="2">#REF!</definedName>
    <definedName name="BMS_Tot_Cost" localSheetId="5">#REF!</definedName>
    <definedName name="BMS_Tot_Cost" localSheetId="0">#REF!</definedName>
    <definedName name="BMS_Tot_Cost" localSheetId="9">#REF!</definedName>
    <definedName name="BMS_Tot_Cost" localSheetId="11">#REF!</definedName>
    <definedName name="BMS_Tot_Cost" localSheetId="4">#REF!</definedName>
    <definedName name="BMS_Tot_Cost">#REF!</definedName>
    <definedName name="bvb" localSheetId="13">#REF!</definedName>
    <definedName name="bvb" localSheetId="7">#REF!</definedName>
    <definedName name="bvb" localSheetId="1">#REF!</definedName>
    <definedName name="bvb" localSheetId="6">#REF!</definedName>
    <definedName name="bvb" localSheetId="2">#REF!</definedName>
    <definedName name="bvb" localSheetId="5">#REF!</definedName>
    <definedName name="bvb" localSheetId="0">#REF!</definedName>
    <definedName name="bvb" localSheetId="11">#REF!</definedName>
    <definedName name="bvb" localSheetId="4">#REF!</definedName>
    <definedName name="bvb">#REF!</definedName>
    <definedName name="Capital_Expenditures___Culture___Sports" localSheetId="13">'[1]Module 6_Condensed Budget'!#REF!</definedName>
    <definedName name="Capital_Expenditures___Culture___Sports" localSheetId="7">'[1]Module 6_Condensed Budget'!#REF!</definedName>
    <definedName name="Capital_Expenditures___Culture___Sports" localSheetId="1">'[1]Module 6_Condensed Budget'!#REF!</definedName>
    <definedName name="Capital_Expenditures___Culture___Sports" localSheetId="6">'[1]Module 6_Condensed Budget'!#REF!</definedName>
    <definedName name="Capital_Expenditures___Culture___Sports" localSheetId="2">'[1]Module 6_Condensed Budget'!#REF!</definedName>
    <definedName name="Capital_Expenditures___Culture___Sports" localSheetId="5">'[1]Module 6_Condensed Budget'!#REF!</definedName>
    <definedName name="Capital_Expenditures___Culture___Sports" localSheetId="0">'[1]Module 6_Condensed Budget'!#REF!</definedName>
    <definedName name="Capital_Expenditures___Culture___Sports" localSheetId="9">'[2]Module 6_Condensed Budget'!#REF!</definedName>
    <definedName name="Capital_Expenditures___Culture___Sports" localSheetId="14">'[2]Module 6_Condensed Budget'!#REF!</definedName>
    <definedName name="Capital_Expenditures___Culture___Sports" localSheetId="11">'[1]Module 6_Condensed Budget'!#REF!</definedName>
    <definedName name="Capital_Expenditures___Culture___Sports" localSheetId="4">'[1]Module 6_Condensed Budget'!#REF!</definedName>
    <definedName name="Capital_Expenditures___Culture___Sports">'[1]Module 6_Condensed Budget'!#REF!</definedName>
    <definedName name="Capital_Expenditures___Education" localSheetId="13">'[1]Module 6_Condensed Budget'!#REF!</definedName>
    <definedName name="Capital_Expenditures___Education" localSheetId="7">'[1]Module 6_Condensed Budget'!#REF!</definedName>
    <definedName name="Capital_Expenditures___Education" localSheetId="1">'[1]Module 6_Condensed Budget'!#REF!</definedName>
    <definedName name="Capital_Expenditures___Education" localSheetId="6">'[1]Module 6_Condensed Budget'!#REF!</definedName>
    <definedName name="Capital_Expenditures___Education" localSheetId="2">'[1]Module 6_Condensed Budget'!#REF!</definedName>
    <definedName name="Capital_Expenditures___Education" localSheetId="5">'[1]Module 6_Condensed Budget'!#REF!</definedName>
    <definedName name="Capital_Expenditures___Education" localSheetId="0">'[1]Module 6_Condensed Budget'!#REF!</definedName>
    <definedName name="Capital_Expenditures___Education" localSheetId="9">'[2]Module 6_Condensed Budget'!#REF!</definedName>
    <definedName name="Capital_Expenditures___Education" localSheetId="14">'[2]Module 6_Condensed Budget'!#REF!</definedName>
    <definedName name="Capital_Expenditures___Education" localSheetId="11">'[1]Module 6_Condensed Budget'!#REF!</definedName>
    <definedName name="Capital_Expenditures___Education" localSheetId="4">'[1]Module 6_Condensed Budget'!#REF!</definedName>
    <definedName name="Capital_Expenditures___Education">'[1]Module 6_Condensed Budget'!#REF!</definedName>
    <definedName name="Capital_Expenditures___General_Administration" localSheetId="13">'[1]Module 6_Condensed Budget'!#REF!</definedName>
    <definedName name="Capital_Expenditures___General_Administration" localSheetId="7">'[1]Module 6_Condensed Budget'!#REF!</definedName>
    <definedName name="Capital_Expenditures___General_Administration" localSheetId="1">'[1]Module 6_Condensed Budget'!#REF!</definedName>
    <definedName name="Capital_Expenditures___General_Administration" localSheetId="6">'[1]Module 6_Condensed Budget'!#REF!</definedName>
    <definedName name="Capital_Expenditures___General_Administration" localSheetId="2">'[1]Module 6_Condensed Budget'!#REF!</definedName>
    <definedName name="Capital_Expenditures___General_Administration" localSheetId="5">'[1]Module 6_Condensed Budget'!#REF!</definedName>
    <definedName name="Capital_Expenditures___General_Administration" localSheetId="0">'[1]Module 6_Condensed Budget'!#REF!</definedName>
    <definedName name="Capital_Expenditures___General_Administration" localSheetId="9">'[2]Module 6_Condensed Budget'!#REF!</definedName>
    <definedName name="Capital_Expenditures___General_Administration" localSheetId="14">'[2]Module 6_Condensed Budget'!#REF!</definedName>
    <definedName name="Capital_Expenditures___General_Administration" localSheetId="11">'[1]Module 6_Condensed Budget'!#REF!</definedName>
    <definedName name="Capital_Expenditures___General_Administration" localSheetId="4">'[1]Module 6_Condensed Budget'!#REF!</definedName>
    <definedName name="Capital_Expenditures___General_Administration">'[1]Module 6_Condensed Budget'!#REF!</definedName>
    <definedName name="Capital_Expenditures___Health" localSheetId="13">'[1]Module 6_Condensed Budget'!#REF!</definedName>
    <definedName name="Capital_Expenditures___Health" localSheetId="7">'[1]Module 6_Condensed Budget'!#REF!</definedName>
    <definedName name="Capital_Expenditures___Health" localSheetId="1">'[1]Module 6_Condensed Budget'!#REF!</definedName>
    <definedName name="Capital_Expenditures___Health" localSheetId="6">'[1]Module 6_Condensed Budget'!#REF!</definedName>
    <definedName name="Capital_Expenditures___Health" localSheetId="2">'[1]Module 6_Condensed Budget'!#REF!</definedName>
    <definedName name="Capital_Expenditures___Health" localSheetId="5">'[1]Module 6_Condensed Budget'!#REF!</definedName>
    <definedName name="Capital_Expenditures___Health" localSheetId="0">'[1]Module 6_Condensed Budget'!#REF!</definedName>
    <definedName name="Capital_Expenditures___Health" localSheetId="9">'[2]Module 6_Condensed Budget'!#REF!</definedName>
    <definedName name="Capital_Expenditures___Health" localSheetId="14">'[2]Module 6_Condensed Budget'!#REF!</definedName>
    <definedName name="Capital_Expenditures___Health" localSheetId="11">'[1]Module 6_Condensed Budget'!#REF!</definedName>
    <definedName name="Capital_Expenditures___Health" localSheetId="4">'[1]Module 6_Condensed Budget'!#REF!</definedName>
    <definedName name="Capital_Expenditures___Health">'[1]Module 6_Condensed Budget'!#REF!</definedName>
    <definedName name="Capital_Expenditures___Other_Activities" localSheetId="13">'[1]Module 6_Condensed Budget'!#REF!</definedName>
    <definedName name="Capital_Expenditures___Other_Activities" localSheetId="7">'[1]Module 6_Condensed Budget'!#REF!</definedName>
    <definedName name="Capital_Expenditures___Other_Activities" localSheetId="1">'[1]Module 6_Condensed Budget'!#REF!</definedName>
    <definedName name="Capital_Expenditures___Other_Activities" localSheetId="6">'[1]Module 6_Condensed Budget'!#REF!</definedName>
    <definedName name="Capital_Expenditures___Other_Activities" localSheetId="2">'[1]Module 6_Condensed Budget'!#REF!</definedName>
    <definedName name="Capital_Expenditures___Other_Activities" localSheetId="5">'[1]Module 6_Condensed Budget'!#REF!</definedName>
    <definedName name="Capital_Expenditures___Other_Activities" localSheetId="0">'[1]Module 6_Condensed Budget'!#REF!</definedName>
    <definedName name="Capital_Expenditures___Other_Activities" localSheetId="9">'[2]Module 6_Condensed Budget'!#REF!</definedName>
    <definedName name="Capital_Expenditures___Other_Activities" localSheetId="14">'[2]Module 6_Condensed Budget'!#REF!</definedName>
    <definedName name="Capital_Expenditures___Other_Activities" localSheetId="11">'[1]Module 6_Condensed Budget'!#REF!</definedName>
    <definedName name="Capital_Expenditures___Other_Activities" localSheetId="4">'[1]Module 6_Condensed Budget'!#REF!</definedName>
    <definedName name="Capital_Expenditures___Other_Activities">'[1]Module 6_Condensed Budget'!#REF!</definedName>
    <definedName name="Capital_Expenditures___Public_Works___Housing" localSheetId="13">'[1]Module 6_Condensed Budget'!#REF!</definedName>
    <definedName name="Capital_Expenditures___Public_Works___Housing" localSheetId="7">'[1]Module 6_Condensed Budget'!#REF!</definedName>
    <definedName name="Capital_Expenditures___Public_Works___Housing" localSheetId="1">'[1]Module 6_Condensed Budget'!#REF!</definedName>
    <definedName name="Capital_Expenditures___Public_Works___Housing" localSheetId="6">'[1]Module 6_Condensed Budget'!#REF!</definedName>
    <definedName name="Capital_Expenditures___Public_Works___Housing" localSheetId="2">'[1]Module 6_Condensed Budget'!#REF!</definedName>
    <definedName name="Capital_Expenditures___Public_Works___Housing" localSheetId="5">'[1]Module 6_Condensed Budget'!#REF!</definedName>
    <definedName name="Capital_Expenditures___Public_Works___Housing" localSheetId="0">'[1]Module 6_Condensed Budget'!#REF!</definedName>
    <definedName name="Capital_Expenditures___Public_Works___Housing" localSheetId="9">'[2]Module 6_Condensed Budget'!#REF!</definedName>
    <definedName name="Capital_Expenditures___Public_Works___Housing" localSheetId="14">'[2]Module 6_Condensed Budget'!#REF!</definedName>
    <definedName name="Capital_Expenditures___Public_Works___Housing" localSheetId="11">'[1]Module 6_Condensed Budget'!#REF!</definedName>
    <definedName name="Capital_Expenditures___Public_Works___Housing" localSheetId="4">'[1]Module 6_Condensed Budget'!#REF!</definedName>
    <definedName name="Capital_Expenditures___Public_Works___Housing">'[1]Module 6_Condensed Budget'!#REF!</definedName>
    <definedName name="Capital_Expenditures___Social_Assistance" localSheetId="13">'[1]Module 6_Condensed Budget'!#REF!</definedName>
    <definedName name="Capital_Expenditures___Social_Assistance" localSheetId="7">'[1]Module 6_Condensed Budget'!#REF!</definedName>
    <definedName name="Capital_Expenditures___Social_Assistance" localSheetId="1">'[1]Module 6_Condensed Budget'!#REF!</definedName>
    <definedName name="Capital_Expenditures___Social_Assistance" localSheetId="6">'[1]Module 6_Condensed Budget'!#REF!</definedName>
    <definedName name="Capital_Expenditures___Social_Assistance" localSheetId="2">'[1]Module 6_Condensed Budget'!#REF!</definedName>
    <definedName name="Capital_Expenditures___Social_Assistance" localSheetId="5">'[1]Module 6_Condensed Budget'!#REF!</definedName>
    <definedName name="Capital_Expenditures___Social_Assistance" localSheetId="0">'[1]Module 6_Condensed Budget'!#REF!</definedName>
    <definedName name="Capital_Expenditures___Social_Assistance" localSheetId="9">'[2]Module 6_Condensed Budget'!#REF!</definedName>
    <definedName name="Capital_Expenditures___Social_Assistance" localSheetId="14">'[2]Module 6_Condensed Budget'!#REF!</definedName>
    <definedName name="Capital_Expenditures___Social_Assistance" localSheetId="11">'[1]Module 6_Condensed Budget'!#REF!</definedName>
    <definedName name="Capital_Expenditures___Social_Assistance" localSheetId="4">'[1]Module 6_Condensed Budget'!#REF!</definedName>
    <definedName name="Capital_Expenditures___Social_Assistance">'[1]Module 6_Condensed Budget'!#REF!</definedName>
    <definedName name="Capital_Expenditures___Transportation___Communication" localSheetId="13">'[1]Module 6_Condensed Budget'!#REF!</definedName>
    <definedName name="Capital_Expenditures___Transportation___Communication" localSheetId="7">'[1]Module 6_Condensed Budget'!#REF!</definedName>
    <definedName name="Capital_Expenditures___Transportation___Communication" localSheetId="1">'[1]Module 6_Condensed Budget'!#REF!</definedName>
    <definedName name="Capital_Expenditures___Transportation___Communication" localSheetId="6">'[1]Module 6_Condensed Budget'!#REF!</definedName>
    <definedName name="Capital_Expenditures___Transportation___Communication" localSheetId="2">'[1]Module 6_Condensed Budget'!#REF!</definedName>
    <definedName name="Capital_Expenditures___Transportation___Communication" localSheetId="5">'[1]Module 6_Condensed Budget'!#REF!</definedName>
    <definedName name="Capital_Expenditures___Transportation___Communication" localSheetId="0">'[1]Module 6_Condensed Budget'!#REF!</definedName>
    <definedName name="Capital_Expenditures___Transportation___Communication" localSheetId="9">'[2]Module 6_Condensed Budget'!#REF!</definedName>
    <definedName name="Capital_Expenditures___Transportation___Communication" localSheetId="14">'[2]Module 6_Condensed Budget'!#REF!</definedName>
    <definedName name="Capital_Expenditures___Transportation___Communication" localSheetId="11">'[1]Module 6_Condensed Budget'!#REF!</definedName>
    <definedName name="Capital_Expenditures___Transportation___Communication" localSheetId="4">'[1]Module 6_Condensed Budget'!#REF!</definedName>
    <definedName name="Capital_Expenditures___Transportation___Communication">'[1]Module 6_Condensed Budget'!#REF!</definedName>
    <definedName name="Capital_Expenditures__Other_Economic_Activities" localSheetId="13">'[1]Module 6_Condensed Budget'!#REF!</definedName>
    <definedName name="Capital_Expenditures__Other_Economic_Activities" localSheetId="7">'[1]Module 6_Condensed Budget'!#REF!</definedName>
    <definedName name="Capital_Expenditures__Other_Economic_Activities" localSheetId="1">'[1]Module 6_Condensed Budget'!#REF!</definedName>
    <definedName name="Capital_Expenditures__Other_Economic_Activities" localSheetId="6">'[1]Module 6_Condensed Budget'!#REF!</definedName>
    <definedName name="Capital_Expenditures__Other_Economic_Activities" localSheetId="2">'[1]Module 6_Condensed Budget'!#REF!</definedName>
    <definedName name="Capital_Expenditures__Other_Economic_Activities" localSheetId="5">'[1]Module 6_Condensed Budget'!#REF!</definedName>
    <definedName name="Capital_Expenditures__Other_Economic_Activities" localSheetId="0">'[1]Module 6_Condensed Budget'!#REF!</definedName>
    <definedName name="Capital_Expenditures__Other_Economic_Activities" localSheetId="9">'[2]Module 6_Condensed Budget'!#REF!</definedName>
    <definedName name="Capital_Expenditures__Other_Economic_Activities" localSheetId="14">'[2]Module 6_Condensed Budget'!#REF!</definedName>
    <definedName name="Capital_Expenditures__Other_Economic_Activities" localSheetId="11">'[1]Module 6_Condensed Budget'!#REF!</definedName>
    <definedName name="Capital_Expenditures__Other_Economic_Activities" localSheetId="4">'[1]Module 6_Condensed Budget'!#REF!</definedName>
    <definedName name="Capital_Expenditures__Other_Economic_Activities">'[1]Module 6_Condensed Budget'!#REF!</definedName>
    <definedName name="caragiale" localSheetId="13">#REF!</definedName>
    <definedName name="caragiale" localSheetId="7">#REF!</definedName>
    <definedName name="caragiale" localSheetId="1">#REF!</definedName>
    <definedName name="caragiale" localSheetId="6">#REF!</definedName>
    <definedName name="caragiale" localSheetId="2">#REF!</definedName>
    <definedName name="caragiale" localSheetId="5">#REF!</definedName>
    <definedName name="caragiale" localSheetId="0">#REF!</definedName>
    <definedName name="caragiale" localSheetId="14">#REF!</definedName>
    <definedName name="caragiale" localSheetId="11">#REF!</definedName>
    <definedName name="caragiale" localSheetId="4">#REF!</definedName>
    <definedName name="caragiale">#REF!</definedName>
    <definedName name="Change_in_Operating_Expenditures" localSheetId="13">'[1]Module 6_Condensed Budget'!#REF!</definedName>
    <definedName name="Change_in_Operating_Expenditures" localSheetId="7">'[1]Module 6_Condensed Budget'!#REF!</definedName>
    <definedName name="Change_in_Operating_Expenditures" localSheetId="1">'[1]Module 6_Condensed Budget'!#REF!</definedName>
    <definedName name="Change_in_Operating_Expenditures" localSheetId="6">'[1]Module 6_Condensed Budget'!#REF!</definedName>
    <definedName name="Change_in_Operating_Expenditures" localSheetId="2">'[1]Module 6_Condensed Budget'!#REF!</definedName>
    <definedName name="Change_in_Operating_Expenditures" localSheetId="5">'[1]Module 6_Condensed Budget'!#REF!</definedName>
    <definedName name="Change_in_Operating_Expenditures" localSheetId="0">'[1]Module 6_Condensed Budget'!#REF!</definedName>
    <definedName name="Change_in_Operating_Expenditures" localSheetId="9">'[2]Module 6_Condensed Budget'!#REF!</definedName>
    <definedName name="Change_in_Operating_Expenditures" localSheetId="14">'[2]Module 6_Condensed Budget'!#REF!</definedName>
    <definedName name="Change_in_Operating_Expenditures" localSheetId="11">'[1]Module 6_Condensed Budget'!#REF!</definedName>
    <definedName name="Change_in_Operating_Expenditures" localSheetId="4">'[1]Module 6_Condensed Budget'!#REF!</definedName>
    <definedName name="Change_in_Operating_Expenditures">'[1]Module 6_Condensed Budget'!#REF!</definedName>
    <definedName name="CO_II" localSheetId="13">#REF!</definedName>
    <definedName name="CO_II" localSheetId="7">#REF!</definedName>
    <definedName name="CO_II" localSheetId="1">#REF!</definedName>
    <definedName name="CO_II" localSheetId="6">#REF!</definedName>
    <definedName name="CO_II" localSheetId="2">#REF!</definedName>
    <definedName name="CO_II" localSheetId="5">#REF!</definedName>
    <definedName name="CO_II" localSheetId="0">#REF!</definedName>
    <definedName name="CO_II" localSheetId="9">#REF!</definedName>
    <definedName name="CO_II" localSheetId="11">#REF!</definedName>
    <definedName name="CO_II" localSheetId="4">#REF!</definedName>
    <definedName name="CO_II">#REF!</definedName>
    <definedName name="COIV" localSheetId="13">#REF!</definedName>
    <definedName name="COIV" localSheetId="7">#REF!</definedName>
    <definedName name="COIV" localSheetId="1">#REF!</definedName>
    <definedName name="COIV" localSheetId="6">#REF!</definedName>
    <definedName name="COIV" localSheetId="2">#REF!</definedName>
    <definedName name="COIV" localSheetId="5">#REF!</definedName>
    <definedName name="COIV" localSheetId="0">#REF!</definedName>
    <definedName name="COIV" localSheetId="9">#REF!</definedName>
    <definedName name="COIV" localSheetId="11">#REF!</definedName>
    <definedName name="COIV" localSheetId="4">#REF!</definedName>
    <definedName name="COIV">#REF!</definedName>
    <definedName name="COV" localSheetId="13">#REF!</definedName>
    <definedName name="COV" localSheetId="7">#REF!</definedName>
    <definedName name="COV" localSheetId="1">#REF!</definedName>
    <definedName name="COV" localSheetId="6">#REF!</definedName>
    <definedName name="COV" localSheetId="2">#REF!</definedName>
    <definedName name="COV" localSheetId="5">#REF!</definedName>
    <definedName name="COV" localSheetId="0">#REF!</definedName>
    <definedName name="COV" localSheetId="9">#REF!</definedName>
    <definedName name="COV" localSheetId="11">#REF!</definedName>
    <definedName name="COV" localSheetId="4">#REF!</definedName>
    <definedName name="COV">#REF!</definedName>
    <definedName name="credit" localSheetId="10" hidden="1">{"'Lennar U.S. Partners'!$A$1:$N$53"}</definedName>
    <definedName name="credit" localSheetId="1" hidden="1">{"'Lennar U.S. Partners'!$A$1:$N$53"}</definedName>
    <definedName name="credit" localSheetId="6" hidden="1">{"'Lennar U.S. Partners'!$A$1:$N$53"}</definedName>
    <definedName name="credit" localSheetId="3" hidden="1">{"'Lennar U.S. Partners'!$A$1:$N$53"}</definedName>
    <definedName name="credit" localSheetId="2" hidden="1">{"'Lennar U.S. Partners'!$A$1:$N$53"}</definedName>
    <definedName name="credit" localSheetId="5" hidden="1">{"'Lennar U.S. Partners'!$A$1:$N$53"}</definedName>
    <definedName name="credit" localSheetId="0" hidden="1">{"'Lennar U.S. Partners'!$A$1:$N$53"}</definedName>
    <definedName name="credit" localSheetId="14" hidden="1">{"'Lennar U.S. Partners'!$A$1:$N$53"}</definedName>
    <definedName name="credit" localSheetId="4" hidden="1">{"'Lennar U.S. Partners'!$A$1:$N$53"}</definedName>
    <definedName name="credit" hidden="1">{"'Lennar U.S. Partners'!$A$1:$N$53"}</definedName>
    <definedName name="d">[3]Portfolio!$F$15</definedName>
    <definedName name="_xlnm.Database" localSheetId="13">#REF!</definedName>
    <definedName name="_xlnm.Database" localSheetId="7">#REF!</definedName>
    <definedName name="_xlnm.Database" localSheetId="1">#REF!</definedName>
    <definedName name="_xlnm.Database" localSheetId="6">#REF!</definedName>
    <definedName name="_xlnm.Database" localSheetId="2">#REF!</definedName>
    <definedName name="_xlnm.Database" localSheetId="5">#REF!</definedName>
    <definedName name="_xlnm.Database" localSheetId="0">#REF!</definedName>
    <definedName name="_xlnm.Database" localSheetId="9">#REF!</definedName>
    <definedName name="_xlnm.Database" localSheetId="11">#REF!</definedName>
    <definedName name="_xlnm.Database" localSheetId="4">#REF!</definedName>
    <definedName name="_xlnm.Database">#REF!</definedName>
    <definedName name="Deflator__Base_Year___1995" localSheetId="13">'[1]Module 6_Condensed Budget'!#REF!</definedName>
    <definedName name="Deflator__Base_Year___1995" localSheetId="7">'[1]Module 6_Condensed Budget'!#REF!</definedName>
    <definedName name="Deflator__Base_Year___1995" localSheetId="1">'[1]Module 6_Condensed Budget'!#REF!</definedName>
    <definedName name="Deflator__Base_Year___1995" localSheetId="6">'[1]Module 6_Condensed Budget'!#REF!</definedName>
    <definedName name="Deflator__Base_Year___1995" localSheetId="2">'[1]Module 6_Condensed Budget'!#REF!</definedName>
    <definedName name="Deflator__Base_Year___1995" localSheetId="5">'[1]Module 6_Condensed Budget'!#REF!</definedName>
    <definedName name="Deflator__Base_Year___1995" localSheetId="0">'[1]Module 6_Condensed Budget'!#REF!</definedName>
    <definedName name="Deflator__Base_Year___1995" localSheetId="9">'[2]Module 6_Condensed Budget'!#REF!</definedName>
    <definedName name="Deflator__Base_Year___1995" localSheetId="14">'[2]Module 6_Condensed Budget'!#REF!</definedName>
    <definedName name="Deflator__Base_Year___1995" localSheetId="11">'[1]Module 6_Condensed Budget'!#REF!</definedName>
    <definedName name="Deflator__Base_Year___1995" localSheetId="4">'[1]Module 6_Condensed Budget'!#REF!</definedName>
    <definedName name="Deflator__Base_Year___1995">'[1]Module 6_Condensed Budget'!#REF!</definedName>
    <definedName name="Deflator__Base_Year___1997" localSheetId="13">'[1]Module 6_Condensed Budget'!#REF!</definedName>
    <definedName name="Deflator__Base_Year___1997" localSheetId="7">'[1]Module 6_Condensed Budget'!#REF!</definedName>
    <definedName name="Deflator__Base_Year___1997" localSheetId="1">'[1]Module 6_Condensed Budget'!#REF!</definedName>
    <definedName name="Deflator__Base_Year___1997" localSheetId="6">'[1]Module 6_Condensed Budget'!#REF!</definedName>
    <definedName name="Deflator__Base_Year___1997" localSheetId="2">'[1]Module 6_Condensed Budget'!#REF!</definedName>
    <definedName name="Deflator__Base_Year___1997" localSheetId="5">'[1]Module 6_Condensed Budget'!#REF!</definedName>
    <definedName name="Deflator__Base_Year___1997" localSheetId="0">'[1]Module 6_Condensed Budget'!#REF!</definedName>
    <definedName name="Deflator__Base_Year___1997" localSheetId="9">'[2]Module 6_Condensed Budget'!#REF!</definedName>
    <definedName name="Deflator__Base_Year___1997" localSheetId="14">'[2]Module 6_Condensed Budget'!#REF!</definedName>
    <definedName name="Deflator__Base_Year___1997" localSheetId="11">'[1]Module 6_Condensed Budget'!#REF!</definedName>
    <definedName name="Deflator__Base_Year___1997" localSheetId="4">'[1]Module 6_Condensed Budget'!#REF!</definedName>
    <definedName name="Deflator__Base_Year___1997">'[1]Module 6_Condensed Budget'!#REF!</definedName>
    <definedName name="dff" localSheetId="13">#REF!</definedName>
    <definedName name="dff" localSheetId="7">#REF!</definedName>
    <definedName name="dff" localSheetId="1">#REF!</definedName>
    <definedName name="dff" localSheetId="6">#REF!</definedName>
    <definedName name="dff" localSheetId="2">#REF!</definedName>
    <definedName name="dff" localSheetId="5">#REF!</definedName>
    <definedName name="dff" localSheetId="0">#REF!</definedName>
    <definedName name="dff" localSheetId="11">#REF!</definedName>
    <definedName name="dff" localSheetId="4">#REF!</definedName>
    <definedName name="dff">#REF!</definedName>
    <definedName name="DisplaySelectedSheetsMacroButton" localSheetId="13">#REF!</definedName>
    <definedName name="DisplaySelectedSheetsMacroButton" localSheetId="7">#REF!</definedName>
    <definedName name="DisplaySelectedSheetsMacroButton" localSheetId="1">#REF!</definedName>
    <definedName name="DisplaySelectedSheetsMacroButton" localSheetId="6">#REF!</definedName>
    <definedName name="DisplaySelectedSheetsMacroButton" localSheetId="2">#REF!</definedName>
    <definedName name="DisplaySelectedSheetsMacroButton" localSheetId="5">#REF!</definedName>
    <definedName name="DisplaySelectedSheetsMacroButton" localSheetId="0">#REF!</definedName>
    <definedName name="DisplaySelectedSheetsMacroButton" localSheetId="9">#REF!</definedName>
    <definedName name="DisplaySelectedSheetsMacroButton" localSheetId="11">#REF!</definedName>
    <definedName name="DisplaySelectedSheetsMacroButton" localSheetId="4">#REF!</definedName>
    <definedName name="DisplaySelectedSheetsMacroButton">#REF!</definedName>
    <definedName name="dsa" localSheetId="10" hidden="1">{#N/A,#N/A,FALSE,"Fund-II"}</definedName>
    <definedName name="dsa" localSheetId="1" hidden="1">{#N/A,#N/A,FALSE,"Fund-II"}</definedName>
    <definedName name="dsa" localSheetId="6" hidden="1">{#N/A,#N/A,FALSE,"Fund-II"}</definedName>
    <definedName name="dsa" localSheetId="3" hidden="1">{#N/A,#N/A,FALSE,"Fund-II"}</definedName>
    <definedName name="dsa" localSheetId="2" hidden="1">{#N/A,#N/A,FALSE,"Fund-II"}</definedName>
    <definedName name="dsa" localSheetId="5" hidden="1">{#N/A,#N/A,FALSE,"Fund-II"}</definedName>
    <definedName name="dsa" localSheetId="0" hidden="1">{#N/A,#N/A,FALSE,"Fund-II"}</definedName>
    <definedName name="dsa" localSheetId="9">#REF!</definedName>
    <definedName name="dsa" localSheetId="14">#REF!</definedName>
    <definedName name="dsa" localSheetId="4" hidden="1">{#N/A,#N/A,FALSE,"Fund-II"}</definedName>
    <definedName name="dsa" hidden="1">{#N/A,#N/A,FALSE,"Fund-II"}</definedName>
    <definedName name="eq" localSheetId="13">#REF!</definedName>
    <definedName name="eq" localSheetId="7">#REF!</definedName>
    <definedName name="eq" localSheetId="1">#REF!</definedName>
    <definedName name="eq" localSheetId="6">#REF!</definedName>
    <definedName name="eq" localSheetId="2">#REF!</definedName>
    <definedName name="eq" localSheetId="5">#REF!</definedName>
    <definedName name="eq" localSheetId="0">#REF!</definedName>
    <definedName name="eq" localSheetId="11">#REF!</definedName>
    <definedName name="eq" localSheetId="4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13">#REF!</definedName>
    <definedName name="ew" localSheetId="7">#REF!</definedName>
    <definedName name="ew" localSheetId="1">#REF!</definedName>
    <definedName name="ew" localSheetId="6">#REF!</definedName>
    <definedName name="ew" localSheetId="2">#REF!</definedName>
    <definedName name="ew" localSheetId="5">#REF!</definedName>
    <definedName name="ew" localSheetId="0">#REF!</definedName>
    <definedName name="ew" localSheetId="11">#REF!</definedName>
    <definedName name="ew" localSheetId="4">#REF!</definedName>
    <definedName name="ew">#REF!</definedName>
    <definedName name="ewq" localSheetId="13">#REF!</definedName>
    <definedName name="ewq" localSheetId="7">#REF!</definedName>
    <definedName name="ewq" localSheetId="1">#REF!</definedName>
    <definedName name="ewq" localSheetId="6">#REF!</definedName>
    <definedName name="ewq" localSheetId="2">#REF!</definedName>
    <definedName name="ewq" localSheetId="5">#REF!</definedName>
    <definedName name="ewq" localSheetId="0">#REF!</definedName>
    <definedName name="ewq" localSheetId="11">#REF!</definedName>
    <definedName name="ewq" localSheetId="4">#REF!</definedName>
    <definedName name="ewq">#REF!</definedName>
    <definedName name="Excel_BuiltIn__FilterDatabase_13" localSheetId="13">#REF!</definedName>
    <definedName name="Excel_BuiltIn__FilterDatabase_13" localSheetId="7">#REF!</definedName>
    <definedName name="Excel_BuiltIn__FilterDatabase_13" localSheetId="1">#REF!</definedName>
    <definedName name="Excel_BuiltIn__FilterDatabase_13" localSheetId="6">#REF!</definedName>
    <definedName name="Excel_BuiltIn__FilterDatabase_13" localSheetId="2">#REF!</definedName>
    <definedName name="Excel_BuiltIn__FilterDatabase_13" localSheetId="5">#REF!</definedName>
    <definedName name="Excel_BuiltIn__FilterDatabase_13" localSheetId="0">#REF!</definedName>
    <definedName name="Excel_BuiltIn__FilterDatabase_13" localSheetId="9">#REF!</definedName>
    <definedName name="Excel_BuiltIn__FilterDatabase_13" localSheetId="11">#REF!</definedName>
    <definedName name="Excel_BuiltIn__FilterDatabase_13" localSheetId="4">#REF!</definedName>
    <definedName name="Excel_BuiltIn__FilterDatabase_13">#REF!</definedName>
    <definedName name="Excel_BuiltIn__FilterDatabase_17" localSheetId="13">'[4]Evolutie V_C 2003_2007 '!#REF!</definedName>
    <definedName name="Excel_BuiltIn__FilterDatabase_17" localSheetId="7">'[4]Evolutie V_C 2003_2007 '!#REF!</definedName>
    <definedName name="Excel_BuiltIn__FilterDatabase_17" localSheetId="1">'[4]Evolutie V_C 2003_2007 '!#REF!</definedName>
    <definedName name="Excel_BuiltIn__FilterDatabase_17" localSheetId="6">'[4]Evolutie V_C 2003_2007 '!#REF!</definedName>
    <definedName name="Excel_BuiltIn__FilterDatabase_17" localSheetId="2">'[4]Evolutie V_C 2003_2007 '!#REF!</definedName>
    <definedName name="Excel_BuiltIn__FilterDatabase_17" localSheetId="5">'[4]Evolutie V_C 2003_2007 '!#REF!</definedName>
    <definedName name="Excel_BuiltIn__FilterDatabase_17" localSheetId="0">'[4]Evolutie V_C 2003_2007 '!#REF!</definedName>
    <definedName name="Excel_BuiltIn__FilterDatabase_17" localSheetId="9">'[5]Evolutie V_C 2003_2007 '!#REF!</definedName>
    <definedName name="Excel_BuiltIn__FilterDatabase_17" localSheetId="14">'[5]Evolutie V_C 2003_2007 '!#REF!</definedName>
    <definedName name="Excel_BuiltIn__FilterDatabase_17" localSheetId="11">'[4]Evolutie V_C 2003_2007 '!#REF!</definedName>
    <definedName name="Excel_BuiltIn__FilterDatabase_17" localSheetId="4">'[4]Evolutie V_C 2003_2007 '!#REF!</definedName>
    <definedName name="Excel_BuiltIn__FilterDatabase_17">'[4]Evolutie V_C 2003_2007 '!#REF!</definedName>
    <definedName name="Excel_BuiltIn_Database" localSheetId="13">#REF!</definedName>
    <definedName name="Excel_BuiltIn_Database" localSheetId="7">#REF!</definedName>
    <definedName name="Excel_BuiltIn_Database" localSheetId="1">#REF!</definedName>
    <definedName name="Excel_BuiltIn_Database" localSheetId="6">#REF!</definedName>
    <definedName name="Excel_BuiltIn_Database" localSheetId="2">#REF!</definedName>
    <definedName name="Excel_BuiltIn_Database" localSheetId="5">#REF!</definedName>
    <definedName name="Excel_BuiltIn_Database" localSheetId="0">#REF!</definedName>
    <definedName name="Excel_BuiltIn_Database" localSheetId="9">#REF!</definedName>
    <definedName name="Excel_BuiltIn_Database" localSheetId="11">#REF!</definedName>
    <definedName name="Excel_BuiltIn_Database" localSheetId="4">#REF!</definedName>
    <definedName name="Excel_BuiltIn_Database">#REF!</definedName>
    <definedName name="Extra" localSheetId="1">[6]ExtraScoli!$B$150</definedName>
    <definedName name="Extra" localSheetId="2">[6]ExtraScoli!$B$150</definedName>
    <definedName name="Extra" localSheetId="0">[6]ExtraScoli!$B$150</definedName>
    <definedName name="Extra">[6]ExtraScoli!$B$150</definedName>
    <definedName name="fds" localSheetId="13">#REF!</definedName>
    <definedName name="fds" localSheetId="7">#REF!</definedName>
    <definedName name="fds" localSheetId="1">#REF!</definedName>
    <definedName name="fds" localSheetId="6">#REF!</definedName>
    <definedName name="fds" localSheetId="2">#REF!</definedName>
    <definedName name="fds" localSheetId="5">#REF!</definedName>
    <definedName name="fds" localSheetId="0">#REF!</definedName>
    <definedName name="fds" localSheetId="11">#REF!</definedName>
    <definedName name="fds" localSheetId="4">#REF!</definedName>
    <definedName name="fds">#REF!</definedName>
    <definedName name="Ferrovial" localSheetId="10" hidden="1">{"'Lennar U.S. Partners'!$A$1:$N$53"}</definedName>
    <definedName name="Ferrovial" localSheetId="1" hidden="1">{"'Lennar U.S. Partners'!$A$1:$N$53"}</definedName>
    <definedName name="Ferrovial" localSheetId="6" hidden="1">{"'Lennar U.S. Partners'!$A$1:$N$53"}</definedName>
    <definedName name="Ferrovial" localSheetId="3" hidden="1">{"'Lennar U.S. Partners'!$A$1:$N$53"}</definedName>
    <definedName name="Ferrovial" localSheetId="2" hidden="1">{"'Lennar U.S. Partners'!$A$1:$N$53"}</definedName>
    <definedName name="Ferrovial" localSheetId="5" hidden="1">{"'Lennar U.S. Partners'!$A$1:$N$53"}</definedName>
    <definedName name="Ferrovial" localSheetId="0" hidden="1">{"'Lennar U.S. Partners'!$A$1:$N$53"}</definedName>
    <definedName name="Ferrovial" localSheetId="9" hidden="1">{"'Lennar U.S. Partners'!$A$1:$N$53"}</definedName>
    <definedName name="Ferrovial" localSheetId="14" hidden="1">{"'Lennar U.S. Partners'!$A$1:$N$53"}</definedName>
    <definedName name="Ferrovial" localSheetId="4" hidden="1">{"'Lennar U.S. Partners'!$A$1:$N$53"}</definedName>
    <definedName name="Ferrovial" hidden="1">{"'Lennar U.S. Partners'!$A$1:$N$53"}</definedName>
    <definedName name="FUND1" localSheetId="13">#REF!</definedName>
    <definedName name="FUND1" localSheetId="7">#REF!</definedName>
    <definedName name="FUND1" localSheetId="1">#REF!</definedName>
    <definedName name="FUND1" localSheetId="6">#REF!</definedName>
    <definedName name="FUND1" localSheetId="2">#REF!</definedName>
    <definedName name="FUND1" localSheetId="5">#REF!</definedName>
    <definedName name="FUND1" localSheetId="0">#REF!</definedName>
    <definedName name="FUND1" localSheetId="9">#REF!</definedName>
    <definedName name="FUND1" localSheetId="11">#REF!</definedName>
    <definedName name="FUND1" localSheetId="4">#REF!</definedName>
    <definedName name="FUND1">#REF!</definedName>
    <definedName name="FUND2" localSheetId="13">#REF!</definedName>
    <definedName name="FUND2" localSheetId="7">#REF!</definedName>
    <definedName name="FUND2" localSheetId="1">#REF!</definedName>
    <definedName name="FUND2" localSheetId="6">#REF!</definedName>
    <definedName name="FUND2" localSheetId="2">#REF!</definedName>
    <definedName name="FUND2" localSheetId="5">#REF!</definedName>
    <definedName name="FUND2" localSheetId="0">#REF!</definedName>
    <definedName name="FUND2" localSheetId="9">#REF!</definedName>
    <definedName name="FUND2" localSheetId="11">#REF!</definedName>
    <definedName name="FUND2" localSheetId="4">#REF!</definedName>
    <definedName name="FUND2">#REF!</definedName>
    <definedName name="GEMS" localSheetId="10" hidden="1">{"'Lennar U.S. Partners'!$A$1:$N$53"}</definedName>
    <definedName name="GEMS" localSheetId="1" hidden="1">{"'Lennar U.S. Partners'!$A$1:$N$53"}</definedName>
    <definedName name="GEMS" localSheetId="6" hidden="1">{"'Lennar U.S. Partners'!$A$1:$N$53"}</definedName>
    <definedName name="GEMS" localSheetId="3" hidden="1">{"'Lennar U.S. Partners'!$A$1:$N$53"}</definedName>
    <definedName name="GEMS" localSheetId="2" hidden="1">{"'Lennar U.S. Partners'!$A$1:$N$53"}</definedName>
    <definedName name="GEMS" localSheetId="5" hidden="1">{"'Lennar U.S. Partners'!$A$1:$N$53"}</definedName>
    <definedName name="GEMS" localSheetId="0" hidden="1">{"'Lennar U.S. Partners'!$A$1:$N$53"}</definedName>
    <definedName name="GEMS" localSheetId="9" hidden="1">{"'Lennar U.S. Partners'!$A$1:$N$53"}</definedName>
    <definedName name="GEMS" localSheetId="14" hidden="1">{"'Lennar U.S. Partners'!$A$1:$N$53"}</definedName>
    <definedName name="GEMS" localSheetId="4" hidden="1">{"'Lennar U.S. Partners'!$A$1:$N$53"}</definedName>
    <definedName name="GEMS" hidden="1">{"'Lennar U.S. Partners'!$A$1:$N$53"}</definedName>
    <definedName name="ggg" localSheetId="1" hidden="1">{"'Lennar U.S. Partners'!$A$1:$N$53"}</definedName>
    <definedName name="ggg" localSheetId="6" hidden="1">{"'Lennar U.S. Partners'!$A$1:$N$53"}</definedName>
    <definedName name="ggg" localSheetId="3" hidden="1">{"'Lennar U.S. Partners'!$A$1:$N$53"}</definedName>
    <definedName name="ggg" localSheetId="2" hidden="1">{"'Lennar U.S. Partners'!$A$1:$N$53"}</definedName>
    <definedName name="ggg" localSheetId="5" hidden="1">{"'Lennar U.S. Partners'!$A$1:$N$53"}</definedName>
    <definedName name="ggg" localSheetId="0" hidden="1">{"'Lennar U.S. Partners'!$A$1:$N$53"}</definedName>
    <definedName name="ggg" localSheetId="4" hidden="1">{"'Lennar U.S. Partners'!$A$1:$N$53"}</definedName>
    <definedName name="ggg" hidden="1">{"'Lennar U.S. Partners'!$A$1:$N$53"}</definedName>
    <definedName name="gr_203" localSheetId="13">#REF!</definedName>
    <definedName name="gr_203" localSheetId="7">#REF!</definedName>
    <definedName name="gr_203" localSheetId="1">#REF!</definedName>
    <definedName name="gr_203" localSheetId="6">#REF!</definedName>
    <definedName name="gr_203" localSheetId="2">#REF!</definedName>
    <definedName name="gr_203" localSheetId="5">#REF!</definedName>
    <definedName name="gr_203" localSheetId="0">#REF!</definedName>
    <definedName name="gr_203" localSheetId="14">#REF!</definedName>
    <definedName name="gr_203" localSheetId="11">#REF!</definedName>
    <definedName name="gr_203" localSheetId="4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13">#REF!</definedName>
    <definedName name="harnaj" localSheetId="7">#REF!</definedName>
    <definedName name="harnaj" localSheetId="1">#REF!</definedName>
    <definedName name="harnaj" localSheetId="6">#REF!</definedName>
    <definedName name="harnaj" localSheetId="2">#REF!</definedName>
    <definedName name="harnaj" localSheetId="5">#REF!</definedName>
    <definedName name="harnaj" localSheetId="0">#REF!</definedName>
    <definedName name="harnaj" localSheetId="14">#REF!</definedName>
    <definedName name="harnaj" localSheetId="11">#REF!</definedName>
    <definedName name="harnaj" localSheetId="4">#REF!</definedName>
    <definedName name="harnaj">#REF!</definedName>
    <definedName name="hipoacuzici" localSheetId="13">#REF!</definedName>
    <definedName name="hipoacuzici" localSheetId="7">#REF!</definedName>
    <definedName name="hipoacuzici" localSheetId="1">#REF!</definedName>
    <definedName name="hipoacuzici" localSheetId="6">#REF!</definedName>
    <definedName name="hipoacuzici" localSheetId="2">#REF!</definedName>
    <definedName name="hipoacuzici" localSheetId="5">#REF!</definedName>
    <definedName name="hipoacuzici" localSheetId="0">#REF!</definedName>
    <definedName name="hipoacuzici" localSheetId="11">#REF!</definedName>
    <definedName name="hipoacuzici" localSheetId="4">#REF!</definedName>
    <definedName name="hipoacuzici">#REF!</definedName>
    <definedName name="HTML_CodePage" hidden="1">1252</definedName>
    <definedName name="HTML_Control" localSheetId="10" hidden="1">{"'Lennar U.S. Partners'!$A$1:$N$53"}</definedName>
    <definedName name="HTML_Control" localSheetId="1" hidden="1">{"'Lennar U.S. Partners'!$A$1:$N$53"}</definedName>
    <definedName name="HTML_Control" localSheetId="6" hidden="1">{"'Lennar U.S. Partners'!$A$1:$N$53"}</definedName>
    <definedName name="HTML_Control" localSheetId="3" hidden="1">{"'Lennar U.S. Partners'!$A$1:$N$53"}</definedName>
    <definedName name="HTML_Control" localSheetId="2" hidden="1">{"'Lennar U.S. Partners'!$A$1:$N$53"}</definedName>
    <definedName name="HTML_Control" localSheetId="5" hidden="1">{"'Lennar U.S. Partners'!$A$1:$N$53"}</definedName>
    <definedName name="HTML_Control" localSheetId="0" hidden="1">{"'Lennar U.S. Partners'!$A$1:$N$53"}</definedName>
    <definedName name="HTML_Control" localSheetId="9" hidden="1">{"'Lennar U.S. Partners'!$A$1:$N$53"}</definedName>
    <definedName name="HTML_Control" localSheetId="14" hidden="1">{"'Lennar U.S. Partners'!$A$1:$N$53"}</definedName>
    <definedName name="HTML_Control" localSheetId="4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[7]Inputs!$A$118:$L$125</definedName>
    <definedName name="Intlfive">[7]Inputs!$A$192:$J$212</definedName>
    <definedName name="Intlfour">[7]Inputs!$A$170:$J$185</definedName>
    <definedName name="Intlseven">[7]Inputs!$A$258:$J$289</definedName>
    <definedName name="Intlsix">[7]Inputs!$A$219:$J$250</definedName>
    <definedName name="Intlthree">[7]Inputs!$A$151:$L$163</definedName>
    <definedName name="Intltwo">[7]Inputs!$A$132:$L$144</definedName>
    <definedName name="INVESTORS" localSheetId="13">#REF!</definedName>
    <definedName name="INVESTORS" localSheetId="7">#REF!</definedName>
    <definedName name="INVESTORS" localSheetId="1">#REF!</definedName>
    <definedName name="INVESTORS" localSheetId="6">#REF!</definedName>
    <definedName name="INVESTORS" localSheetId="2">#REF!</definedName>
    <definedName name="INVESTORS" localSheetId="5">#REF!</definedName>
    <definedName name="INVESTORS" localSheetId="0">#REF!</definedName>
    <definedName name="INVESTORS" localSheetId="9">#REF!</definedName>
    <definedName name="INVESTORS" localSheetId="11">#REF!</definedName>
    <definedName name="INVESTORS" localSheetId="4">#REF!</definedName>
    <definedName name="INVESTORS">#REF!</definedName>
    <definedName name="Investors_892_C" localSheetId="13">#REF!</definedName>
    <definedName name="Investors_892_C" localSheetId="7">#REF!</definedName>
    <definedName name="Investors_892_C" localSheetId="1">#REF!</definedName>
    <definedName name="Investors_892_C" localSheetId="6">#REF!</definedName>
    <definedName name="Investors_892_C" localSheetId="2">#REF!</definedName>
    <definedName name="Investors_892_C" localSheetId="5">#REF!</definedName>
    <definedName name="Investors_892_C" localSheetId="0">#REF!</definedName>
    <definedName name="Investors_892_C" localSheetId="9">#REF!</definedName>
    <definedName name="Investors_892_C" localSheetId="11">#REF!</definedName>
    <definedName name="Investors_892_C" localSheetId="4">#REF!</definedName>
    <definedName name="Investors_892_C">#REF!</definedName>
    <definedName name="ITDNETDIST.Actual.ITD" localSheetId="13">#REF!</definedName>
    <definedName name="ITDNETDIST.Actual.ITD" localSheetId="7">#REF!</definedName>
    <definedName name="ITDNETDIST.Actual.ITD" localSheetId="1">#REF!</definedName>
    <definedName name="ITDNETDIST.Actual.ITD" localSheetId="6">#REF!</definedName>
    <definedName name="ITDNETDIST.Actual.ITD" localSheetId="2">#REF!</definedName>
    <definedName name="ITDNETDIST.Actual.ITD" localSheetId="5">#REF!</definedName>
    <definedName name="ITDNETDIST.Actual.ITD" localSheetId="0">#REF!</definedName>
    <definedName name="ITDNETDIST.Actual.ITD" localSheetId="9">#REF!</definedName>
    <definedName name="ITDNETDIST.Actual.ITD" localSheetId="11">#REF!</definedName>
    <definedName name="ITDNETDIST.Actual.ITD" localSheetId="4">#REF!</definedName>
    <definedName name="ITDNETDIST.Actual.ITD">#REF!</definedName>
    <definedName name="KUWAIT" localSheetId="13">#REF!</definedName>
    <definedName name="KUWAIT" localSheetId="7">#REF!</definedName>
    <definedName name="KUWAIT" localSheetId="1">#REF!</definedName>
    <definedName name="KUWAIT" localSheetId="6">#REF!</definedName>
    <definedName name="KUWAIT" localSheetId="2">#REF!</definedName>
    <definedName name="KUWAIT" localSheetId="5">#REF!</definedName>
    <definedName name="KUWAIT" localSheetId="0">#REF!</definedName>
    <definedName name="KUWAIT" localSheetId="9">#REF!</definedName>
    <definedName name="KUWAIT" localSheetId="11">#REF!</definedName>
    <definedName name="KUWAIT" localSheetId="4">#REF!</definedName>
    <definedName name="KUWAIT">#REF!</definedName>
    <definedName name="ListSheetsMacroButton" localSheetId="13">#REF!</definedName>
    <definedName name="ListSheetsMacroButton" localSheetId="7">#REF!</definedName>
    <definedName name="ListSheetsMacroButton" localSheetId="1">#REF!</definedName>
    <definedName name="ListSheetsMacroButton" localSheetId="6">#REF!</definedName>
    <definedName name="ListSheetsMacroButton" localSheetId="2">#REF!</definedName>
    <definedName name="ListSheetsMacroButton" localSheetId="5">#REF!</definedName>
    <definedName name="ListSheetsMacroButton" localSheetId="0">#REF!</definedName>
    <definedName name="ListSheetsMacroButton" localSheetId="9">#REF!</definedName>
    <definedName name="ListSheetsMacroButton" localSheetId="11">#REF!</definedName>
    <definedName name="ListSheetsMacroButton" localSheetId="4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13">#REF!</definedName>
    <definedName name="madgearu" localSheetId="7">#REF!</definedName>
    <definedName name="madgearu" localSheetId="1">#REF!</definedName>
    <definedName name="madgearu" localSheetId="6">#REF!</definedName>
    <definedName name="madgearu" localSheetId="2">#REF!</definedName>
    <definedName name="madgearu" localSheetId="5">#REF!</definedName>
    <definedName name="madgearu" localSheetId="0">#REF!</definedName>
    <definedName name="madgearu" localSheetId="14">#REF!</definedName>
    <definedName name="madgearu" localSheetId="11">#REF!</definedName>
    <definedName name="madgearu" localSheetId="4">#REF!</definedName>
    <definedName name="madgearu">#REF!</definedName>
    <definedName name="Maturity">[8]Params!$B$3</definedName>
    <definedName name="MSREF_II_892_INVESTORS_A__L.P." localSheetId="13">#REF!</definedName>
    <definedName name="MSREF_II_892_INVESTORS_A__L.P." localSheetId="7">#REF!</definedName>
    <definedName name="MSREF_II_892_INVESTORS_A__L.P." localSheetId="1">#REF!</definedName>
    <definedName name="MSREF_II_892_INVESTORS_A__L.P." localSheetId="6">#REF!</definedName>
    <definedName name="MSREF_II_892_INVESTORS_A__L.P." localSheetId="2">#REF!</definedName>
    <definedName name="MSREF_II_892_INVESTORS_A__L.P." localSheetId="5">#REF!</definedName>
    <definedName name="MSREF_II_892_INVESTORS_A__L.P." localSheetId="0">#REF!</definedName>
    <definedName name="MSREF_II_892_INVESTORS_A__L.P." localSheetId="9">#REF!</definedName>
    <definedName name="MSREF_II_892_INVESTORS_A__L.P." localSheetId="11">#REF!</definedName>
    <definedName name="MSREF_II_892_INVESTORS_A__L.P." localSheetId="4">#REF!</definedName>
    <definedName name="MSREF_II_892_INVESTORS_A__L.P.">#REF!</definedName>
    <definedName name="MSREF_II_892_INVESTORS_AB__L.P." localSheetId="13">#REF!</definedName>
    <definedName name="MSREF_II_892_INVESTORS_AB__L.P." localSheetId="7">#REF!</definedName>
    <definedName name="MSREF_II_892_INVESTORS_AB__L.P." localSheetId="1">#REF!</definedName>
    <definedName name="MSREF_II_892_INVESTORS_AB__L.P." localSheetId="6">#REF!</definedName>
    <definedName name="MSREF_II_892_INVESTORS_AB__L.P." localSheetId="2">#REF!</definedName>
    <definedName name="MSREF_II_892_INVESTORS_AB__L.P." localSheetId="5">#REF!</definedName>
    <definedName name="MSREF_II_892_INVESTORS_AB__L.P." localSheetId="0">#REF!</definedName>
    <definedName name="MSREF_II_892_INVESTORS_AB__L.P." localSheetId="9">#REF!</definedName>
    <definedName name="MSREF_II_892_INVESTORS_AB__L.P." localSheetId="11">#REF!</definedName>
    <definedName name="MSREF_II_892_INVESTORS_AB__L.P." localSheetId="4">#REF!</definedName>
    <definedName name="MSREF_II_892_INVESTORS_AB__L.P.">#REF!</definedName>
    <definedName name="MSREF_II_892_INVESTORS_B__L.P." localSheetId="13">#REF!</definedName>
    <definedName name="MSREF_II_892_INVESTORS_B__L.P." localSheetId="7">#REF!</definedName>
    <definedName name="MSREF_II_892_INVESTORS_B__L.P." localSheetId="1">#REF!</definedName>
    <definedName name="MSREF_II_892_INVESTORS_B__L.P." localSheetId="6">#REF!</definedName>
    <definedName name="MSREF_II_892_INVESTORS_B__L.P." localSheetId="2">#REF!</definedName>
    <definedName name="MSREF_II_892_INVESTORS_B__L.P." localSheetId="5">#REF!</definedName>
    <definedName name="MSREF_II_892_INVESTORS_B__L.P." localSheetId="0">#REF!</definedName>
    <definedName name="MSREF_II_892_INVESTORS_B__L.P." localSheetId="9">#REF!</definedName>
    <definedName name="MSREF_II_892_INVESTORS_B__L.P." localSheetId="11">#REF!</definedName>
    <definedName name="MSREF_II_892_INVESTORS_B__L.P." localSheetId="4">#REF!</definedName>
    <definedName name="MSREF_II_892_INVESTORS_B__L.P.">#REF!</definedName>
    <definedName name="msrefivTMTM" localSheetId="13">#REF!</definedName>
    <definedName name="msrefivTMTM" localSheetId="7">#REF!</definedName>
    <definedName name="msrefivTMTM" localSheetId="1">#REF!</definedName>
    <definedName name="msrefivTMTM" localSheetId="6">#REF!</definedName>
    <definedName name="msrefivTMTM" localSheetId="2">#REF!</definedName>
    <definedName name="msrefivTMTM" localSheetId="5">#REF!</definedName>
    <definedName name="msrefivTMTM" localSheetId="0">#REF!</definedName>
    <definedName name="msrefivTMTM" localSheetId="9">#REF!</definedName>
    <definedName name="msrefivTMTM" localSheetId="11">#REF!</definedName>
    <definedName name="msrefivTMTM" localSheetId="4">#REF!</definedName>
    <definedName name="msrefivTMTM">#REF!</definedName>
    <definedName name="msreiMTM" localSheetId="13">#REF!</definedName>
    <definedName name="msreiMTM" localSheetId="7">#REF!</definedName>
    <definedName name="msreiMTM" localSheetId="1">#REF!</definedName>
    <definedName name="msreiMTM" localSheetId="6">#REF!</definedName>
    <definedName name="msreiMTM" localSheetId="2">#REF!</definedName>
    <definedName name="msreiMTM" localSheetId="5">#REF!</definedName>
    <definedName name="msreiMTM" localSheetId="0">#REF!</definedName>
    <definedName name="msreiMTM" localSheetId="9">#REF!</definedName>
    <definedName name="msreiMTM" localSheetId="11">#REF!</definedName>
    <definedName name="msreiMTM" localSheetId="4">#REF!</definedName>
    <definedName name="msreiMTM">#REF!</definedName>
    <definedName name="MTMHeader" localSheetId="13">#REF!</definedName>
    <definedName name="MTMHeader" localSheetId="7">#REF!</definedName>
    <definedName name="MTMHeader" localSheetId="1">#REF!</definedName>
    <definedName name="MTMHeader" localSheetId="6">#REF!</definedName>
    <definedName name="MTMHeader" localSheetId="2">#REF!</definedName>
    <definedName name="MTMHeader" localSheetId="5">#REF!</definedName>
    <definedName name="MTMHeader" localSheetId="0">#REF!</definedName>
    <definedName name="MTMHeader" localSheetId="9">#REF!</definedName>
    <definedName name="MTMHeader" localSheetId="11">#REF!</definedName>
    <definedName name="MTMHeader" localSheetId="4">#REF!</definedName>
    <definedName name="MTMHeader">#REF!</definedName>
    <definedName name="NET_DSITR.ProForma.Year" localSheetId="13">#REF!</definedName>
    <definedName name="NET_DSITR.ProForma.Year" localSheetId="7">#REF!</definedName>
    <definedName name="NET_DSITR.ProForma.Year" localSheetId="1">#REF!</definedName>
    <definedName name="NET_DSITR.ProForma.Year" localSheetId="6">#REF!</definedName>
    <definedName name="NET_DSITR.ProForma.Year" localSheetId="2">#REF!</definedName>
    <definedName name="NET_DSITR.ProForma.Year" localSheetId="5">#REF!</definedName>
    <definedName name="NET_DSITR.ProForma.Year" localSheetId="0">#REF!</definedName>
    <definedName name="NET_DSITR.ProForma.Year" localSheetId="9">#REF!</definedName>
    <definedName name="NET_DSITR.ProForma.Year" localSheetId="11">#REF!</definedName>
    <definedName name="NET_DSITR.ProForma.Year" localSheetId="4">#REF!</definedName>
    <definedName name="NET_DSITR.ProForma.Year">#REF!</definedName>
    <definedName name="Net_Outstanding_Debt" localSheetId="13">'[1]Module 6_Condensed Budget'!#REF!</definedName>
    <definedName name="Net_Outstanding_Debt" localSheetId="7">'[1]Module 6_Condensed Budget'!#REF!</definedName>
    <definedName name="Net_Outstanding_Debt" localSheetId="1">'[1]Module 6_Condensed Budget'!#REF!</definedName>
    <definedName name="Net_Outstanding_Debt" localSheetId="6">'[1]Module 6_Condensed Budget'!#REF!</definedName>
    <definedName name="Net_Outstanding_Debt" localSheetId="2">'[1]Module 6_Condensed Budget'!#REF!</definedName>
    <definedName name="Net_Outstanding_Debt" localSheetId="5">'[1]Module 6_Condensed Budget'!#REF!</definedName>
    <definedName name="Net_Outstanding_Debt" localSheetId="0">'[1]Module 6_Condensed Budget'!#REF!</definedName>
    <definedName name="Net_Outstanding_Debt" localSheetId="9">'[2]Module 6_Condensed Budget'!#REF!</definedName>
    <definedName name="Net_Outstanding_Debt" localSheetId="14">'[2]Module 6_Condensed Budget'!#REF!</definedName>
    <definedName name="Net_Outstanding_Debt" localSheetId="11">'[1]Module 6_Condensed Budget'!#REF!</definedName>
    <definedName name="Net_Outstanding_Debt" localSheetId="4">'[1]Module 6_Condensed Budget'!#REF!</definedName>
    <definedName name="Net_Outstanding_Debt">'[1]Module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13">#REF!</definedName>
    <definedName name="Nucleulsava" localSheetId="7">#REF!</definedName>
    <definedName name="Nucleulsava" localSheetId="1">#REF!</definedName>
    <definedName name="Nucleulsava" localSheetId="6">#REF!</definedName>
    <definedName name="Nucleulsava" localSheetId="2">#REF!</definedName>
    <definedName name="Nucleulsava" localSheetId="5">#REF!</definedName>
    <definedName name="Nucleulsava" localSheetId="0">#REF!</definedName>
    <definedName name="Nucleulsava" localSheetId="14">#REF!</definedName>
    <definedName name="Nucleulsava" localSheetId="11">#REF!</definedName>
    <definedName name="Nucleulsava" localSheetId="4">#REF!</definedName>
    <definedName name="Nucleulsava">#REF!</definedName>
    <definedName name="page\x2dtotal">#REF!</definedName>
    <definedName name="page\x2dtotal\x2dmaster0">#REF!</definedName>
    <definedName name="_xlnm.Print_Area" localSheetId="13">'1.2 fara fonduri ue'!$A$1:$R$37</definedName>
    <definedName name="_xlnm.Print_Area" localSheetId="7">'anexa 1.3'!$A$1:$R$37</definedName>
    <definedName name="_xlnm.Print_Area" localSheetId="10">'anexa 1.4'!$A$1:$R$58</definedName>
    <definedName name="_xlnm.Print_Area" localSheetId="9">'grad indatorare'!$A$1:$I$27</definedName>
    <definedName name="PrintManagerQuery" localSheetId="13">#REF!</definedName>
    <definedName name="PrintManagerQuery" localSheetId="7">#REF!</definedName>
    <definedName name="PrintManagerQuery" localSheetId="1">#REF!</definedName>
    <definedName name="PrintManagerQuery" localSheetId="6">#REF!</definedName>
    <definedName name="PrintManagerQuery" localSheetId="2">#REF!</definedName>
    <definedName name="PrintManagerQuery" localSheetId="5">#REF!</definedName>
    <definedName name="PrintManagerQuery" localSheetId="0">#REF!</definedName>
    <definedName name="PrintManagerQuery" localSheetId="9">#REF!</definedName>
    <definedName name="PrintManagerQuery" localSheetId="11">#REF!</definedName>
    <definedName name="PrintManagerQuery" localSheetId="4">#REF!</definedName>
    <definedName name="PrintManagerQuery">#REF!</definedName>
    <definedName name="PrintSelectedSheetsMacroButton" localSheetId="13">#REF!</definedName>
    <definedName name="PrintSelectedSheetsMacroButton" localSheetId="7">#REF!</definedName>
    <definedName name="PrintSelectedSheetsMacroButton" localSheetId="1">#REF!</definedName>
    <definedName name="PrintSelectedSheetsMacroButton" localSheetId="6">#REF!</definedName>
    <definedName name="PrintSelectedSheetsMacroButton" localSheetId="2">#REF!</definedName>
    <definedName name="PrintSelectedSheetsMacroButton" localSheetId="5">#REF!</definedName>
    <definedName name="PrintSelectedSheetsMacroButton" localSheetId="0">#REF!</definedName>
    <definedName name="PrintSelectedSheetsMacroButton" localSheetId="9">#REF!</definedName>
    <definedName name="PrintSelectedSheetsMacroButton" localSheetId="11">#REF!</definedName>
    <definedName name="PrintSelectedSheetsMacroButton" localSheetId="4">#REF!</definedName>
    <definedName name="PrintSelectedSheetsMacroButton">#REF!</definedName>
    <definedName name="Proceeds_from_the_sale_of_public_property" localSheetId="13">'[1]Module 6_Condensed Budget'!#REF!</definedName>
    <definedName name="Proceeds_from_the_sale_of_public_property" localSheetId="7">'[1]Module 6_Condensed Budget'!#REF!</definedName>
    <definedName name="Proceeds_from_the_sale_of_public_property" localSheetId="1">'[1]Module 6_Condensed Budget'!#REF!</definedName>
    <definedName name="Proceeds_from_the_sale_of_public_property" localSheetId="6">'[1]Module 6_Condensed Budget'!#REF!</definedName>
    <definedName name="Proceeds_from_the_sale_of_public_property" localSheetId="2">'[1]Module 6_Condensed Budget'!#REF!</definedName>
    <definedName name="Proceeds_from_the_sale_of_public_property" localSheetId="5">'[1]Module 6_Condensed Budget'!#REF!</definedName>
    <definedName name="Proceeds_from_the_sale_of_public_property" localSheetId="0">'[1]Module 6_Condensed Budget'!#REF!</definedName>
    <definedName name="Proceeds_from_the_sale_of_public_property" localSheetId="9">'[2]Module 6_Condensed Budget'!#REF!</definedName>
    <definedName name="Proceeds_from_the_sale_of_public_property" localSheetId="14">'[2]Module 6_Condensed Budget'!#REF!</definedName>
    <definedName name="Proceeds_from_the_sale_of_public_property" localSheetId="11">'[1]Module 6_Condensed Budget'!#REF!</definedName>
    <definedName name="Proceeds_from_the_sale_of_public_property" localSheetId="4">'[1]Module 6_Condensed Budget'!#REF!</definedName>
    <definedName name="Proceeds_from_the_sale_of_public_property">'[1]Module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10" hidden="1">{#N/A,#N/A,FALSE,"Fund-II"}</definedName>
    <definedName name="q" localSheetId="1" hidden="1">{#N/A,#N/A,FALSE,"Fund-II"}</definedName>
    <definedName name="q" localSheetId="6" hidden="1">{#N/A,#N/A,FALSE,"Fund-II"}</definedName>
    <definedName name="q" localSheetId="3" hidden="1">{#N/A,#N/A,FALSE,"Fund-II"}</definedName>
    <definedName name="q" localSheetId="2" hidden="1">{#N/A,#N/A,FALSE,"Fund-II"}</definedName>
    <definedName name="q" localSheetId="5" hidden="1">{#N/A,#N/A,FALSE,"Fund-II"}</definedName>
    <definedName name="q" localSheetId="0" hidden="1">{#N/A,#N/A,FALSE,"Fund-II"}</definedName>
    <definedName name="q" localSheetId="9" hidden="1">{#N/A,#N/A,FALSE,"Fund-II"}</definedName>
    <definedName name="q" localSheetId="14" hidden="1">{#N/A,#N/A,FALSE,"Fund-II"}</definedName>
    <definedName name="q" localSheetId="4" hidden="1">{#N/A,#N/A,FALSE,"Fund-II"}</definedName>
    <definedName name="q" hidden="1">{#N/A,#N/A,FALSE,"Fund-II"}</definedName>
    <definedName name="qw" localSheetId="13">#REF!</definedName>
    <definedName name="qw" localSheetId="7">#REF!</definedName>
    <definedName name="qw" localSheetId="1">#REF!</definedName>
    <definedName name="qw" localSheetId="6">#REF!</definedName>
    <definedName name="qw" localSheetId="2">#REF!</definedName>
    <definedName name="qw" localSheetId="5">#REF!</definedName>
    <definedName name="qw" localSheetId="0">#REF!</definedName>
    <definedName name="qw" localSheetId="14">#REF!</definedName>
    <definedName name="qw" localSheetId="11">#REF!</definedName>
    <definedName name="qw" localSheetId="4">#REF!</definedName>
    <definedName name="qw">#REF!</definedName>
    <definedName name="qwq" localSheetId="13">#REF!</definedName>
    <definedName name="qwq" localSheetId="7">#REF!</definedName>
    <definedName name="qwq" localSheetId="1">#REF!</definedName>
    <definedName name="qwq" localSheetId="6">#REF!</definedName>
    <definedName name="qwq" localSheetId="2">#REF!</definedName>
    <definedName name="qwq" localSheetId="5">#REF!</definedName>
    <definedName name="qwq" localSheetId="0">#REF!</definedName>
    <definedName name="qwq" localSheetId="11">#REF!</definedName>
    <definedName name="qwq" localSheetId="4">#REF!</definedName>
    <definedName name="qwq">#REF!</definedName>
    <definedName name="radu" localSheetId="13">#REF!</definedName>
    <definedName name="radu" localSheetId="7">#REF!</definedName>
    <definedName name="radu" localSheetId="1">#REF!</definedName>
    <definedName name="radu" localSheetId="6">#REF!</definedName>
    <definedName name="radu" localSheetId="2">#REF!</definedName>
    <definedName name="radu" localSheetId="5">#REF!</definedName>
    <definedName name="radu" localSheetId="0">#REF!</definedName>
    <definedName name="radu" localSheetId="11">#REF!</definedName>
    <definedName name="radu" localSheetId="4">#REF!</definedName>
    <definedName name="radu">#REF!</definedName>
    <definedName name="Recurring_Surplus__Deficit" localSheetId="1">'[9]_Cash Flow_'!$C$36:$AM$36</definedName>
    <definedName name="Recurring_Surplus__Deficit" localSheetId="2">'[9]_Cash Flow_'!$C$36:$AM$36</definedName>
    <definedName name="Recurring_Surplus__Deficit" localSheetId="0">'[9]_Cash Flow_'!$C$36:$AM$36</definedName>
    <definedName name="Recurring_Surplus__Deficit">'[9]_Cash Flow_'!$C$36:$AM$36</definedName>
    <definedName name="RedFlag_1" localSheetId="13">#REF!</definedName>
    <definedName name="RedFlag_1" localSheetId="7">#REF!</definedName>
    <definedName name="RedFlag_1" localSheetId="1">#REF!</definedName>
    <definedName name="RedFlag_1" localSheetId="6">#REF!</definedName>
    <definedName name="RedFlag_1" localSheetId="2">#REF!</definedName>
    <definedName name="RedFlag_1" localSheetId="5">#REF!</definedName>
    <definedName name="RedFlag_1" localSheetId="0">#REF!</definedName>
    <definedName name="RedFlag_1" localSheetId="9">#REF!</definedName>
    <definedName name="RedFlag_1" localSheetId="11">#REF!</definedName>
    <definedName name="RedFlag_1" localSheetId="4">#REF!</definedName>
    <definedName name="RedFlag_1">#REF!</definedName>
    <definedName name="RedFlag_10" localSheetId="13">#REF!</definedName>
    <definedName name="RedFlag_10" localSheetId="7">#REF!</definedName>
    <definedName name="RedFlag_10" localSheetId="1">#REF!</definedName>
    <definedName name="RedFlag_10" localSheetId="6">#REF!</definedName>
    <definedName name="RedFlag_10" localSheetId="2">#REF!</definedName>
    <definedName name="RedFlag_10" localSheetId="5">#REF!</definedName>
    <definedName name="RedFlag_10" localSheetId="0">#REF!</definedName>
    <definedName name="RedFlag_10" localSheetId="9">#REF!</definedName>
    <definedName name="RedFlag_10" localSheetId="11">#REF!</definedName>
    <definedName name="RedFlag_10" localSheetId="4">#REF!</definedName>
    <definedName name="RedFlag_10">#REF!</definedName>
    <definedName name="RedFlag_111" localSheetId="13">#REF!</definedName>
    <definedName name="RedFlag_111" localSheetId="7">#REF!</definedName>
    <definedName name="RedFlag_111" localSheetId="1">#REF!</definedName>
    <definedName name="RedFlag_111" localSheetId="6">#REF!</definedName>
    <definedName name="RedFlag_111" localSheetId="2">#REF!</definedName>
    <definedName name="RedFlag_111" localSheetId="5">#REF!</definedName>
    <definedName name="RedFlag_111" localSheetId="0">#REF!</definedName>
    <definedName name="RedFlag_111" localSheetId="9">#REF!</definedName>
    <definedName name="RedFlag_111" localSheetId="11">#REF!</definedName>
    <definedName name="RedFlag_111" localSheetId="4">#REF!</definedName>
    <definedName name="RedFlag_111">#REF!</definedName>
    <definedName name="RedFlag_112" localSheetId="13">#REF!</definedName>
    <definedName name="RedFlag_112" localSheetId="7">#REF!</definedName>
    <definedName name="RedFlag_112" localSheetId="1">#REF!</definedName>
    <definedName name="RedFlag_112" localSheetId="6">#REF!</definedName>
    <definedName name="RedFlag_112" localSheetId="2">#REF!</definedName>
    <definedName name="RedFlag_112" localSheetId="5">#REF!</definedName>
    <definedName name="RedFlag_112" localSheetId="0">#REF!</definedName>
    <definedName name="RedFlag_112" localSheetId="9">#REF!</definedName>
    <definedName name="RedFlag_112" localSheetId="11">#REF!</definedName>
    <definedName name="RedFlag_112" localSheetId="4">#REF!</definedName>
    <definedName name="RedFlag_112">#REF!</definedName>
    <definedName name="RedFlag_113" localSheetId="13">#REF!</definedName>
    <definedName name="RedFlag_113" localSheetId="7">#REF!</definedName>
    <definedName name="RedFlag_113" localSheetId="1">#REF!</definedName>
    <definedName name="RedFlag_113" localSheetId="6">#REF!</definedName>
    <definedName name="RedFlag_113" localSheetId="2">#REF!</definedName>
    <definedName name="RedFlag_113" localSheetId="5">#REF!</definedName>
    <definedName name="RedFlag_113" localSheetId="0">#REF!</definedName>
    <definedName name="RedFlag_113" localSheetId="9">#REF!</definedName>
    <definedName name="RedFlag_113" localSheetId="11">#REF!</definedName>
    <definedName name="RedFlag_113" localSheetId="4">#REF!</definedName>
    <definedName name="RedFlag_113">#REF!</definedName>
    <definedName name="RedFlag_114" localSheetId="13">#REF!</definedName>
    <definedName name="RedFlag_114" localSheetId="7">#REF!</definedName>
    <definedName name="RedFlag_114" localSheetId="1">#REF!</definedName>
    <definedName name="RedFlag_114" localSheetId="6">#REF!</definedName>
    <definedName name="RedFlag_114" localSheetId="2">#REF!</definedName>
    <definedName name="RedFlag_114" localSheetId="5">#REF!</definedName>
    <definedName name="RedFlag_114" localSheetId="0">#REF!</definedName>
    <definedName name="RedFlag_114" localSheetId="9">#REF!</definedName>
    <definedName name="RedFlag_114" localSheetId="11">#REF!</definedName>
    <definedName name="RedFlag_114" localSheetId="4">#REF!</definedName>
    <definedName name="RedFlag_114">#REF!</definedName>
    <definedName name="RedFlag_115" localSheetId="13">#REF!</definedName>
    <definedName name="RedFlag_115" localSheetId="7">#REF!</definedName>
    <definedName name="RedFlag_115" localSheetId="1">#REF!</definedName>
    <definedName name="RedFlag_115" localSheetId="6">#REF!</definedName>
    <definedName name="RedFlag_115" localSheetId="2">#REF!</definedName>
    <definedName name="RedFlag_115" localSheetId="5">#REF!</definedName>
    <definedName name="RedFlag_115" localSheetId="0">#REF!</definedName>
    <definedName name="RedFlag_115" localSheetId="9">#REF!</definedName>
    <definedName name="RedFlag_115" localSheetId="11">#REF!</definedName>
    <definedName name="RedFlag_115" localSheetId="4">#REF!</definedName>
    <definedName name="RedFlag_115">#REF!</definedName>
    <definedName name="RedFlag_116" localSheetId="13">#REF!</definedName>
    <definedName name="RedFlag_116" localSheetId="7">#REF!</definedName>
    <definedName name="RedFlag_116" localSheetId="1">#REF!</definedName>
    <definedName name="RedFlag_116" localSheetId="6">#REF!</definedName>
    <definedName name="RedFlag_116" localSheetId="2">#REF!</definedName>
    <definedName name="RedFlag_116" localSheetId="5">#REF!</definedName>
    <definedName name="RedFlag_116" localSheetId="0">#REF!</definedName>
    <definedName name="RedFlag_116" localSheetId="9">#REF!</definedName>
    <definedName name="RedFlag_116" localSheetId="11">#REF!</definedName>
    <definedName name="RedFlag_116" localSheetId="4">#REF!</definedName>
    <definedName name="RedFlag_116">#REF!</definedName>
    <definedName name="RedFlag_117" localSheetId="13">#REF!</definedName>
    <definedName name="RedFlag_117" localSheetId="7">#REF!</definedName>
    <definedName name="RedFlag_117" localSheetId="1">#REF!</definedName>
    <definedName name="RedFlag_117" localSheetId="6">#REF!</definedName>
    <definedName name="RedFlag_117" localSheetId="2">#REF!</definedName>
    <definedName name="RedFlag_117" localSheetId="5">#REF!</definedName>
    <definedName name="RedFlag_117" localSheetId="0">#REF!</definedName>
    <definedName name="RedFlag_117" localSheetId="9">#REF!</definedName>
    <definedName name="RedFlag_117" localSheetId="11">#REF!</definedName>
    <definedName name="RedFlag_117" localSheetId="4">#REF!</definedName>
    <definedName name="RedFlag_117">#REF!</definedName>
    <definedName name="RedFlag_118" localSheetId="13">#REF!</definedName>
    <definedName name="RedFlag_118" localSheetId="7">#REF!</definedName>
    <definedName name="RedFlag_118" localSheetId="1">#REF!</definedName>
    <definedName name="RedFlag_118" localSheetId="6">#REF!</definedName>
    <definedName name="RedFlag_118" localSheetId="2">#REF!</definedName>
    <definedName name="RedFlag_118" localSheetId="5">#REF!</definedName>
    <definedName name="RedFlag_118" localSheetId="0">#REF!</definedName>
    <definedName name="RedFlag_118" localSheetId="9">#REF!</definedName>
    <definedName name="RedFlag_118" localSheetId="11">#REF!</definedName>
    <definedName name="RedFlag_118" localSheetId="4">#REF!</definedName>
    <definedName name="RedFlag_118">#REF!</definedName>
    <definedName name="RedFlag_119" localSheetId="13">#REF!</definedName>
    <definedName name="RedFlag_119" localSheetId="7">#REF!</definedName>
    <definedName name="RedFlag_119" localSheetId="1">#REF!</definedName>
    <definedName name="RedFlag_119" localSheetId="6">#REF!</definedName>
    <definedName name="RedFlag_119" localSheetId="2">#REF!</definedName>
    <definedName name="RedFlag_119" localSheetId="5">#REF!</definedName>
    <definedName name="RedFlag_119" localSheetId="0">#REF!</definedName>
    <definedName name="RedFlag_119" localSheetId="9">#REF!</definedName>
    <definedName name="RedFlag_119" localSheetId="11">#REF!</definedName>
    <definedName name="RedFlag_119" localSheetId="4">#REF!</definedName>
    <definedName name="RedFlag_119">#REF!</definedName>
    <definedName name="RedFlag_120" localSheetId="13">#REF!</definedName>
    <definedName name="RedFlag_120" localSheetId="7">#REF!</definedName>
    <definedName name="RedFlag_120" localSheetId="1">#REF!</definedName>
    <definedName name="RedFlag_120" localSheetId="6">#REF!</definedName>
    <definedName name="RedFlag_120" localSheetId="2">#REF!</definedName>
    <definedName name="RedFlag_120" localSheetId="5">#REF!</definedName>
    <definedName name="RedFlag_120" localSheetId="0">#REF!</definedName>
    <definedName name="RedFlag_120" localSheetId="9">#REF!</definedName>
    <definedName name="RedFlag_120" localSheetId="11">#REF!</definedName>
    <definedName name="RedFlag_120" localSheetId="4">#REF!</definedName>
    <definedName name="RedFlag_120">#REF!</definedName>
    <definedName name="RedFlag_121" localSheetId="13">#REF!</definedName>
    <definedName name="RedFlag_121" localSheetId="7">#REF!</definedName>
    <definedName name="RedFlag_121" localSheetId="1">#REF!</definedName>
    <definedName name="RedFlag_121" localSheetId="6">#REF!</definedName>
    <definedName name="RedFlag_121" localSheetId="2">#REF!</definedName>
    <definedName name="RedFlag_121" localSheetId="5">#REF!</definedName>
    <definedName name="RedFlag_121" localSheetId="0">#REF!</definedName>
    <definedName name="RedFlag_121" localSheetId="9">#REF!</definedName>
    <definedName name="RedFlag_121" localSheetId="11">#REF!</definedName>
    <definedName name="RedFlag_121" localSheetId="4">#REF!</definedName>
    <definedName name="RedFlag_121">#REF!</definedName>
    <definedName name="RedFlag_122" localSheetId="13">#REF!</definedName>
    <definedName name="RedFlag_122" localSheetId="7">#REF!</definedName>
    <definedName name="RedFlag_122" localSheetId="1">#REF!</definedName>
    <definedName name="RedFlag_122" localSheetId="6">#REF!</definedName>
    <definedName name="RedFlag_122" localSheetId="2">#REF!</definedName>
    <definedName name="RedFlag_122" localSheetId="5">#REF!</definedName>
    <definedName name="RedFlag_122" localSheetId="0">#REF!</definedName>
    <definedName name="RedFlag_122" localSheetId="9">#REF!</definedName>
    <definedName name="RedFlag_122" localSheetId="11">#REF!</definedName>
    <definedName name="RedFlag_122" localSheetId="4">#REF!</definedName>
    <definedName name="RedFlag_122">#REF!</definedName>
    <definedName name="RedFlag_123" localSheetId="13">#REF!</definedName>
    <definedName name="RedFlag_123" localSheetId="7">#REF!</definedName>
    <definedName name="RedFlag_123" localSheetId="1">#REF!</definedName>
    <definedName name="RedFlag_123" localSheetId="6">#REF!</definedName>
    <definedName name="RedFlag_123" localSheetId="2">#REF!</definedName>
    <definedName name="RedFlag_123" localSheetId="5">#REF!</definedName>
    <definedName name="RedFlag_123" localSheetId="0">#REF!</definedName>
    <definedName name="RedFlag_123" localSheetId="9">#REF!</definedName>
    <definedName name="RedFlag_123" localSheetId="11">#REF!</definedName>
    <definedName name="RedFlag_123" localSheetId="4">#REF!</definedName>
    <definedName name="RedFlag_123">#REF!</definedName>
    <definedName name="RedFlag_124" localSheetId="13">#REF!</definedName>
    <definedName name="RedFlag_124" localSheetId="7">#REF!</definedName>
    <definedName name="RedFlag_124" localSheetId="1">#REF!</definedName>
    <definedName name="RedFlag_124" localSheetId="6">#REF!</definedName>
    <definedName name="RedFlag_124" localSheetId="2">#REF!</definedName>
    <definedName name="RedFlag_124" localSheetId="5">#REF!</definedName>
    <definedName name="RedFlag_124" localSheetId="0">#REF!</definedName>
    <definedName name="RedFlag_124" localSheetId="9">#REF!</definedName>
    <definedName name="RedFlag_124" localSheetId="11">#REF!</definedName>
    <definedName name="RedFlag_124" localSheetId="4">#REF!</definedName>
    <definedName name="RedFlag_124">#REF!</definedName>
    <definedName name="RedFlag_125" localSheetId="13">#REF!</definedName>
    <definedName name="RedFlag_125" localSheetId="7">#REF!</definedName>
    <definedName name="RedFlag_125" localSheetId="1">#REF!</definedName>
    <definedName name="RedFlag_125" localSheetId="6">#REF!</definedName>
    <definedName name="RedFlag_125" localSheetId="2">#REF!</definedName>
    <definedName name="RedFlag_125" localSheetId="5">#REF!</definedName>
    <definedName name="RedFlag_125" localSheetId="0">#REF!</definedName>
    <definedName name="RedFlag_125" localSheetId="9">#REF!</definedName>
    <definedName name="RedFlag_125" localSheetId="11">#REF!</definedName>
    <definedName name="RedFlag_125" localSheetId="4">#REF!</definedName>
    <definedName name="RedFlag_125">#REF!</definedName>
    <definedName name="RedFlag_126" localSheetId="13">#REF!</definedName>
    <definedName name="RedFlag_126" localSheetId="7">#REF!</definedName>
    <definedName name="RedFlag_126" localSheetId="1">#REF!</definedName>
    <definedName name="RedFlag_126" localSheetId="6">#REF!</definedName>
    <definedName name="RedFlag_126" localSheetId="2">#REF!</definedName>
    <definedName name="RedFlag_126" localSheetId="5">#REF!</definedName>
    <definedName name="RedFlag_126" localSheetId="0">#REF!</definedName>
    <definedName name="RedFlag_126" localSheetId="9">#REF!</definedName>
    <definedName name="RedFlag_126" localSheetId="11">#REF!</definedName>
    <definedName name="RedFlag_126" localSheetId="4">#REF!</definedName>
    <definedName name="RedFlag_126">#REF!</definedName>
    <definedName name="RedFlag_127" localSheetId="13">#REF!</definedName>
    <definedName name="RedFlag_127" localSheetId="7">#REF!</definedName>
    <definedName name="RedFlag_127" localSheetId="1">#REF!</definedName>
    <definedName name="RedFlag_127" localSheetId="6">#REF!</definedName>
    <definedName name="RedFlag_127" localSheetId="2">#REF!</definedName>
    <definedName name="RedFlag_127" localSheetId="5">#REF!</definedName>
    <definedName name="RedFlag_127" localSheetId="0">#REF!</definedName>
    <definedName name="RedFlag_127" localSheetId="9">#REF!</definedName>
    <definedName name="RedFlag_127" localSheetId="11">#REF!</definedName>
    <definedName name="RedFlag_127" localSheetId="4">#REF!</definedName>
    <definedName name="RedFlag_127">#REF!</definedName>
    <definedName name="RedFlag_128" localSheetId="13">#REF!</definedName>
    <definedName name="RedFlag_128" localSheetId="7">#REF!</definedName>
    <definedName name="RedFlag_128" localSheetId="1">#REF!</definedName>
    <definedName name="RedFlag_128" localSheetId="6">#REF!</definedName>
    <definedName name="RedFlag_128" localSheetId="2">#REF!</definedName>
    <definedName name="RedFlag_128" localSheetId="5">#REF!</definedName>
    <definedName name="RedFlag_128" localSheetId="0">#REF!</definedName>
    <definedName name="RedFlag_128" localSheetId="9">#REF!</definedName>
    <definedName name="RedFlag_128" localSheetId="11">#REF!</definedName>
    <definedName name="RedFlag_128" localSheetId="4">#REF!</definedName>
    <definedName name="RedFlag_128">#REF!</definedName>
    <definedName name="RedFlag_129" localSheetId="13">#REF!</definedName>
    <definedName name="RedFlag_129" localSheetId="7">#REF!</definedName>
    <definedName name="RedFlag_129" localSheetId="1">#REF!</definedName>
    <definedName name="RedFlag_129" localSheetId="6">#REF!</definedName>
    <definedName name="RedFlag_129" localSheetId="2">#REF!</definedName>
    <definedName name="RedFlag_129" localSheetId="5">#REF!</definedName>
    <definedName name="RedFlag_129" localSheetId="0">#REF!</definedName>
    <definedName name="RedFlag_129" localSheetId="9">#REF!</definedName>
    <definedName name="RedFlag_129" localSheetId="11">#REF!</definedName>
    <definedName name="RedFlag_129" localSheetId="4">#REF!</definedName>
    <definedName name="RedFlag_129">#REF!</definedName>
    <definedName name="RedFlag_130" localSheetId="13">#REF!</definedName>
    <definedName name="RedFlag_130" localSheetId="7">#REF!</definedName>
    <definedName name="RedFlag_130" localSheetId="1">#REF!</definedName>
    <definedName name="RedFlag_130" localSheetId="6">#REF!</definedName>
    <definedName name="RedFlag_130" localSheetId="2">#REF!</definedName>
    <definedName name="RedFlag_130" localSheetId="5">#REF!</definedName>
    <definedName name="RedFlag_130" localSheetId="0">#REF!</definedName>
    <definedName name="RedFlag_130" localSheetId="9">#REF!</definedName>
    <definedName name="RedFlag_130" localSheetId="11">#REF!</definedName>
    <definedName name="RedFlag_130" localSheetId="4">#REF!</definedName>
    <definedName name="RedFlag_130">#REF!</definedName>
    <definedName name="RedFlag_131" localSheetId="13">#REF!</definedName>
    <definedName name="RedFlag_131" localSheetId="7">#REF!</definedName>
    <definedName name="RedFlag_131" localSheetId="1">#REF!</definedName>
    <definedName name="RedFlag_131" localSheetId="6">#REF!</definedName>
    <definedName name="RedFlag_131" localSheetId="2">#REF!</definedName>
    <definedName name="RedFlag_131" localSheetId="5">#REF!</definedName>
    <definedName name="RedFlag_131" localSheetId="0">#REF!</definedName>
    <definedName name="RedFlag_131" localSheetId="9">#REF!</definedName>
    <definedName name="RedFlag_131" localSheetId="11">#REF!</definedName>
    <definedName name="RedFlag_131" localSheetId="4">#REF!</definedName>
    <definedName name="RedFlag_131">#REF!</definedName>
    <definedName name="RedFlag_132" localSheetId="13">#REF!</definedName>
    <definedName name="RedFlag_132" localSheetId="7">#REF!</definedName>
    <definedName name="RedFlag_132" localSheetId="1">#REF!</definedName>
    <definedName name="RedFlag_132" localSheetId="6">#REF!</definedName>
    <definedName name="RedFlag_132" localSheetId="2">#REF!</definedName>
    <definedName name="RedFlag_132" localSheetId="5">#REF!</definedName>
    <definedName name="RedFlag_132" localSheetId="0">#REF!</definedName>
    <definedName name="RedFlag_132" localSheetId="9">#REF!</definedName>
    <definedName name="RedFlag_132" localSheetId="11">#REF!</definedName>
    <definedName name="RedFlag_132" localSheetId="4">#REF!</definedName>
    <definedName name="RedFlag_132">#REF!</definedName>
    <definedName name="RedFlag_133" localSheetId="13">#REF!</definedName>
    <definedName name="RedFlag_133" localSheetId="7">#REF!</definedName>
    <definedName name="RedFlag_133" localSheetId="1">#REF!</definedName>
    <definedName name="RedFlag_133" localSheetId="6">#REF!</definedName>
    <definedName name="RedFlag_133" localSheetId="2">#REF!</definedName>
    <definedName name="RedFlag_133" localSheetId="5">#REF!</definedName>
    <definedName name="RedFlag_133" localSheetId="0">#REF!</definedName>
    <definedName name="RedFlag_133" localSheetId="9">#REF!</definedName>
    <definedName name="RedFlag_133" localSheetId="11">#REF!</definedName>
    <definedName name="RedFlag_133" localSheetId="4">#REF!</definedName>
    <definedName name="RedFlag_133">#REF!</definedName>
    <definedName name="RedFlag_134" localSheetId="13">#REF!</definedName>
    <definedName name="RedFlag_134" localSheetId="7">#REF!</definedName>
    <definedName name="RedFlag_134" localSheetId="1">#REF!</definedName>
    <definedName name="RedFlag_134" localSheetId="6">#REF!</definedName>
    <definedName name="RedFlag_134" localSheetId="2">#REF!</definedName>
    <definedName name="RedFlag_134" localSheetId="5">#REF!</definedName>
    <definedName name="RedFlag_134" localSheetId="0">#REF!</definedName>
    <definedName name="RedFlag_134" localSheetId="9">#REF!</definedName>
    <definedName name="RedFlag_134" localSheetId="11">#REF!</definedName>
    <definedName name="RedFlag_134" localSheetId="4">#REF!</definedName>
    <definedName name="RedFlag_134">#REF!</definedName>
    <definedName name="RedFlag_135" localSheetId="13">#REF!</definedName>
    <definedName name="RedFlag_135" localSheetId="7">#REF!</definedName>
    <definedName name="RedFlag_135" localSheetId="1">#REF!</definedName>
    <definedName name="RedFlag_135" localSheetId="6">#REF!</definedName>
    <definedName name="RedFlag_135" localSheetId="2">#REF!</definedName>
    <definedName name="RedFlag_135" localSheetId="5">#REF!</definedName>
    <definedName name="RedFlag_135" localSheetId="0">#REF!</definedName>
    <definedName name="RedFlag_135" localSheetId="9">#REF!</definedName>
    <definedName name="RedFlag_135" localSheetId="11">#REF!</definedName>
    <definedName name="RedFlag_135" localSheetId="4">#REF!</definedName>
    <definedName name="RedFlag_135">#REF!</definedName>
    <definedName name="RedFlag_136" localSheetId="13">#REF!</definedName>
    <definedName name="RedFlag_136" localSheetId="7">#REF!</definedName>
    <definedName name="RedFlag_136" localSheetId="1">#REF!</definedName>
    <definedName name="RedFlag_136" localSheetId="6">#REF!</definedName>
    <definedName name="RedFlag_136" localSheetId="2">#REF!</definedName>
    <definedName name="RedFlag_136" localSheetId="5">#REF!</definedName>
    <definedName name="RedFlag_136" localSheetId="0">#REF!</definedName>
    <definedName name="RedFlag_136" localSheetId="9">#REF!</definedName>
    <definedName name="RedFlag_136" localSheetId="11">#REF!</definedName>
    <definedName name="RedFlag_136" localSheetId="4">#REF!</definedName>
    <definedName name="RedFlag_136">#REF!</definedName>
    <definedName name="RedFlag_137" localSheetId="13">#REF!</definedName>
    <definedName name="RedFlag_137" localSheetId="7">#REF!</definedName>
    <definedName name="RedFlag_137" localSheetId="1">#REF!</definedName>
    <definedName name="RedFlag_137" localSheetId="6">#REF!</definedName>
    <definedName name="RedFlag_137" localSheetId="2">#REF!</definedName>
    <definedName name="RedFlag_137" localSheetId="5">#REF!</definedName>
    <definedName name="RedFlag_137" localSheetId="0">#REF!</definedName>
    <definedName name="RedFlag_137" localSheetId="9">#REF!</definedName>
    <definedName name="RedFlag_137" localSheetId="11">#REF!</definedName>
    <definedName name="RedFlag_137" localSheetId="4">#REF!</definedName>
    <definedName name="RedFlag_137">#REF!</definedName>
    <definedName name="RedFlag_138" localSheetId="13">#REF!</definedName>
    <definedName name="RedFlag_138" localSheetId="7">#REF!</definedName>
    <definedName name="RedFlag_138" localSheetId="1">#REF!</definedName>
    <definedName name="RedFlag_138" localSheetId="6">#REF!</definedName>
    <definedName name="RedFlag_138" localSheetId="2">#REF!</definedName>
    <definedName name="RedFlag_138" localSheetId="5">#REF!</definedName>
    <definedName name="RedFlag_138" localSheetId="0">#REF!</definedName>
    <definedName name="RedFlag_138" localSheetId="9">#REF!</definedName>
    <definedName name="RedFlag_138" localSheetId="11">#REF!</definedName>
    <definedName name="RedFlag_138" localSheetId="4">#REF!</definedName>
    <definedName name="RedFlag_138">#REF!</definedName>
    <definedName name="RedFlag_139" localSheetId="13">#REF!</definedName>
    <definedName name="RedFlag_139" localSheetId="7">#REF!</definedName>
    <definedName name="RedFlag_139" localSheetId="1">#REF!</definedName>
    <definedName name="RedFlag_139" localSheetId="6">#REF!</definedName>
    <definedName name="RedFlag_139" localSheetId="2">#REF!</definedName>
    <definedName name="RedFlag_139" localSheetId="5">#REF!</definedName>
    <definedName name="RedFlag_139" localSheetId="0">#REF!</definedName>
    <definedName name="RedFlag_139" localSheetId="9">#REF!</definedName>
    <definedName name="RedFlag_139" localSheetId="11">#REF!</definedName>
    <definedName name="RedFlag_139" localSheetId="4">#REF!</definedName>
    <definedName name="RedFlag_139">#REF!</definedName>
    <definedName name="RedFlag_14" localSheetId="13">#REF!</definedName>
    <definedName name="RedFlag_14" localSheetId="7">#REF!</definedName>
    <definedName name="RedFlag_14" localSheetId="1">#REF!</definedName>
    <definedName name="RedFlag_14" localSheetId="6">#REF!</definedName>
    <definedName name="RedFlag_14" localSheetId="2">#REF!</definedName>
    <definedName name="RedFlag_14" localSheetId="5">#REF!</definedName>
    <definedName name="RedFlag_14" localSheetId="0">#REF!</definedName>
    <definedName name="RedFlag_14" localSheetId="9">#REF!</definedName>
    <definedName name="RedFlag_14" localSheetId="11">#REF!</definedName>
    <definedName name="RedFlag_14" localSheetId="4">#REF!</definedName>
    <definedName name="RedFlag_14">#REF!</definedName>
    <definedName name="RedFlag_140" localSheetId="13">#REF!</definedName>
    <definedName name="RedFlag_140" localSheetId="7">#REF!</definedName>
    <definedName name="RedFlag_140" localSheetId="1">#REF!</definedName>
    <definedName name="RedFlag_140" localSheetId="6">#REF!</definedName>
    <definedName name="RedFlag_140" localSheetId="2">#REF!</definedName>
    <definedName name="RedFlag_140" localSheetId="5">#REF!</definedName>
    <definedName name="RedFlag_140" localSheetId="0">#REF!</definedName>
    <definedName name="RedFlag_140" localSheetId="9">#REF!</definedName>
    <definedName name="RedFlag_140" localSheetId="11">#REF!</definedName>
    <definedName name="RedFlag_140" localSheetId="4">#REF!</definedName>
    <definedName name="RedFlag_140">#REF!</definedName>
    <definedName name="RedFlag_141" localSheetId="13">#REF!</definedName>
    <definedName name="RedFlag_141" localSheetId="7">#REF!</definedName>
    <definedName name="RedFlag_141" localSheetId="1">#REF!</definedName>
    <definedName name="RedFlag_141" localSheetId="6">#REF!</definedName>
    <definedName name="RedFlag_141" localSheetId="2">#REF!</definedName>
    <definedName name="RedFlag_141" localSheetId="5">#REF!</definedName>
    <definedName name="RedFlag_141" localSheetId="0">#REF!</definedName>
    <definedName name="RedFlag_141" localSheetId="9">#REF!</definedName>
    <definedName name="RedFlag_141" localSheetId="11">#REF!</definedName>
    <definedName name="RedFlag_141" localSheetId="4">#REF!</definedName>
    <definedName name="RedFlag_141">#REF!</definedName>
    <definedName name="RedFlag_142" localSheetId="13">#REF!</definedName>
    <definedName name="RedFlag_142" localSheetId="7">#REF!</definedName>
    <definedName name="RedFlag_142" localSheetId="1">#REF!</definedName>
    <definedName name="RedFlag_142" localSheetId="6">#REF!</definedName>
    <definedName name="RedFlag_142" localSheetId="2">#REF!</definedName>
    <definedName name="RedFlag_142" localSheetId="5">#REF!</definedName>
    <definedName name="RedFlag_142" localSheetId="0">#REF!</definedName>
    <definedName name="RedFlag_142" localSheetId="9">#REF!</definedName>
    <definedName name="RedFlag_142" localSheetId="11">#REF!</definedName>
    <definedName name="RedFlag_142" localSheetId="4">#REF!</definedName>
    <definedName name="RedFlag_142">#REF!</definedName>
    <definedName name="RedFlag_143" localSheetId="13">#REF!</definedName>
    <definedName name="RedFlag_143" localSheetId="7">#REF!</definedName>
    <definedName name="RedFlag_143" localSheetId="1">#REF!</definedName>
    <definedName name="RedFlag_143" localSheetId="6">#REF!</definedName>
    <definedName name="RedFlag_143" localSheetId="2">#REF!</definedName>
    <definedName name="RedFlag_143" localSheetId="5">#REF!</definedName>
    <definedName name="RedFlag_143" localSheetId="0">#REF!</definedName>
    <definedName name="RedFlag_143" localSheetId="9">#REF!</definedName>
    <definedName name="RedFlag_143" localSheetId="11">#REF!</definedName>
    <definedName name="RedFlag_143" localSheetId="4">#REF!</definedName>
    <definedName name="RedFlag_143">#REF!</definedName>
    <definedName name="RedFlag_144" localSheetId="13">#REF!</definedName>
    <definedName name="RedFlag_144" localSheetId="7">#REF!</definedName>
    <definedName name="RedFlag_144" localSheetId="1">#REF!</definedName>
    <definedName name="RedFlag_144" localSheetId="6">#REF!</definedName>
    <definedName name="RedFlag_144" localSheetId="2">#REF!</definedName>
    <definedName name="RedFlag_144" localSheetId="5">#REF!</definedName>
    <definedName name="RedFlag_144" localSheetId="0">#REF!</definedName>
    <definedName name="RedFlag_144" localSheetId="9">#REF!</definedName>
    <definedName name="RedFlag_144" localSheetId="11">#REF!</definedName>
    <definedName name="RedFlag_144" localSheetId="4">#REF!</definedName>
    <definedName name="RedFlag_144">#REF!</definedName>
    <definedName name="RedFlag_145" localSheetId="13">#REF!</definedName>
    <definedName name="RedFlag_145" localSheetId="7">#REF!</definedName>
    <definedName name="RedFlag_145" localSheetId="1">#REF!</definedName>
    <definedName name="RedFlag_145" localSheetId="6">#REF!</definedName>
    <definedName name="RedFlag_145" localSheetId="2">#REF!</definedName>
    <definedName name="RedFlag_145" localSheetId="5">#REF!</definedName>
    <definedName name="RedFlag_145" localSheetId="0">#REF!</definedName>
    <definedName name="RedFlag_145" localSheetId="9">#REF!</definedName>
    <definedName name="RedFlag_145" localSheetId="11">#REF!</definedName>
    <definedName name="RedFlag_145" localSheetId="4">#REF!</definedName>
    <definedName name="RedFlag_145">#REF!</definedName>
    <definedName name="RedFlag_146" localSheetId="13">#REF!</definedName>
    <definedName name="RedFlag_146" localSheetId="7">#REF!</definedName>
    <definedName name="RedFlag_146" localSheetId="1">#REF!</definedName>
    <definedName name="RedFlag_146" localSheetId="6">#REF!</definedName>
    <definedName name="RedFlag_146" localSheetId="2">#REF!</definedName>
    <definedName name="RedFlag_146" localSheetId="5">#REF!</definedName>
    <definedName name="RedFlag_146" localSheetId="0">#REF!</definedName>
    <definedName name="RedFlag_146" localSheetId="9">#REF!</definedName>
    <definedName name="RedFlag_146" localSheetId="11">#REF!</definedName>
    <definedName name="RedFlag_146" localSheetId="4">#REF!</definedName>
    <definedName name="RedFlag_146">#REF!</definedName>
    <definedName name="RedFlag_147" localSheetId="13">#REF!</definedName>
    <definedName name="RedFlag_147" localSheetId="7">#REF!</definedName>
    <definedName name="RedFlag_147" localSheetId="1">#REF!</definedName>
    <definedName name="RedFlag_147" localSheetId="6">#REF!</definedName>
    <definedName name="RedFlag_147" localSheetId="2">#REF!</definedName>
    <definedName name="RedFlag_147" localSheetId="5">#REF!</definedName>
    <definedName name="RedFlag_147" localSheetId="0">#REF!</definedName>
    <definedName name="RedFlag_147" localSheetId="9">#REF!</definedName>
    <definedName name="RedFlag_147" localSheetId="11">#REF!</definedName>
    <definedName name="RedFlag_147" localSheetId="4">#REF!</definedName>
    <definedName name="RedFlag_147">#REF!</definedName>
    <definedName name="RedFlag_148" localSheetId="13">#REF!</definedName>
    <definedName name="RedFlag_148" localSheetId="7">#REF!</definedName>
    <definedName name="RedFlag_148" localSheetId="1">#REF!</definedName>
    <definedName name="RedFlag_148" localSheetId="6">#REF!</definedName>
    <definedName name="RedFlag_148" localSheetId="2">#REF!</definedName>
    <definedName name="RedFlag_148" localSheetId="5">#REF!</definedName>
    <definedName name="RedFlag_148" localSheetId="0">#REF!</definedName>
    <definedName name="RedFlag_148" localSheetId="9">#REF!</definedName>
    <definedName name="RedFlag_148" localSheetId="11">#REF!</definedName>
    <definedName name="RedFlag_148" localSheetId="4">#REF!</definedName>
    <definedName name="RedFlag_148">#REF!</definedName>
    <definedName name="RedFlag_15" localSheetId="13">#REF!</definedName>
    <definedName name="RedFlag_15" localSheetId="7">#REF!</definedName>
    <definedName name="RedFlag_15" localSheetId="1">#REF!</definedName>
    <definedName name="RedFlag_15" localSheetId="6">#REF!</definedName>
    <definedName name="RedFlag_15" localSheetId="2">#REF!</definedName>
    <definedName name="RedFlag_15" localSheetId="5">#REF!</definedName>
    <definedName name="RedFlag_15" localSheetId="0">#REF!</definedName>
    <definedName name="RedFlag_15" localSheetId="9">#REF!</definedName>
    <definedName name="RedFlag_15" localSheetId="11">#REF!</definedName>
    <definedName name="RedFlag_15" localSheetId="4">#REF!</definedName>
    <definedName name="RedFlag_15">#REF!</definedName>
    <definedName name="RedFlag_16" localSheetId="13">#REF!</definedName>
    <definedName name="RedFlag_16" localSheetId="7">#REF!</definedName>
    <definedName name="RedFlag_16" localSheetId="1">#REF!</definedName>
    <definedName name="RedFlag_16" localSheetId="6">#REF!</definedName>
    <definedName name="RedFlag_16" localSheetId="2">#REF!</definedName>
    <definedName name="RedFlag_16" localSheetId="5">#REF!</definedName>
    <definedName name="RedFlag_16" localSheetId="0">#REF!</definedName>
    <definedName name="RedFlag_16" localSheetId="9">#REF!</definedName>
    <definedName name="RedFlag_16" localSheetId="11">#REF!</definedName>
    <definedName name="RedFlag_16" localSheetId="4">#REF!</definedName>
    <definedName name="RedFlag_16">#REF!</definedName>
    <definedName name="RedFlag_17" localSheetId="13">#REF!</definedName>
    <definedName name="RedFlag_17" localSheetId="7">#REF!</definedName>
    <definedName name="RedFlag_17" localSheetId="1">#REF!</definedName>
    <definedName name="RedFlag_17" localSheetId="6">#REF!</definedName>
    <definedName name="RedFlag_17" localSheetId="2">#REF!</definedName>
    <definedName name="RedFlag_17" localSheetId="5">#REF!</definedName>
    <definedName name="RedFlag_17" localSheetId="0">#REF!</definedName>
    <definedName name="RedFlag_17" localSheetId="9">#REF!</definedName>
    <definedName name="RedFlag_17" localSheetId="11">#REF!</definedName>
    <definedName name="RedFlag_17" localSheetId="4">#REF!</definedName>
    <definedName name="RedFlag_17">#REF!</definedName>
    <definedName name="RedFlag_18" localSheetId="13">#REF!</definedName>
    <definedName name="RedFlag_18" localSheetId="7">#REF!</definedName>
    <definedName name="RedFlag_18" localSheetId="1">#REF!</definedName>
    <definedName name="RedFlag_18" localSheetId="6">#REF!</definedName>
    <definedName name="RedFlag_18" localSheetId="2">#REF!</definedName>
    <definedName name="RedFlag_18" localSheetId="5">#REF!</definedName>
    <definedName name="RedFlag_18" localSheetId="0">#REF!</definedName>
    <definedName name="RedFlag_18" localSheetId="9">#REF!</definedName>
    <definedName name="RedFlag_18" localSheetId="11">#REF!</definedName>
    <definedName name="RedFlag_18" localSheetId="4">#REF!</definedName>
    <definedName name="RedFlag_18">#REF!</definedName>
    <definedName name="RedFlag_185" localSheetId="13">#REF!</definedName>
    <definedName name="RedFlag_185" localSheetId="7">#REF!</definedName>
    <definedName name="RedFlag_185" localSheetId="1">#REF!</definedName>
    <definedName name="RedFlag_185" localSheetId="6">#REF!</definedName>
    <definedName name="RedFlag_185" localSheetId="2">#REF!</definedName>
    <definedName name="RedFlag_185" localSheetId="5">#REF!</definedName>
    <definedName name="RedFlag_185" localSheetId="0">#REF!</definedName>
    <definedName name="RedFlag_185" localSheetId="9">#REF!</definedName>
    <definedName name="RedFlag_185" localSheetId="11">#REF!</definedName>
    <definedName name="RedFlag_185" localSheetId="4">#REF!</definedName>
    <definedName name="RedFlag_185">#REF!</definedName>
    <definedName name="RedFlag_186" localSheetId="13">#REF!</definedName>
    <definedName name="RedFlag_186" localSheetId="7">#REF!</definedName>
    <definedName name="RedFlag_186" localSheetId="1">#REF!</definedName>
    <definedName name="RedFlag_186" localSheetId="6">#REF!</definedName>
    <definedName name="RedFlag_186" localSheetId="2">#REF!</definedName>
    <definedName name="RedFlag_186" localSheetId="5">#REF!</definedName>
    <definedName name="RedFlag_186" localSheetId="0">#REF!</definedName>
    <definedName name="RedFlag_186" localSheetId="9">#REF!</definedName>
    <definedName name="RedFlag_186" localSheetId="11">#REF!</definedName>
    <definedName name="RedFlag_186" localSheetId="4">#REF!</definedName>
    <definedName name="RedFlag_186">#REF!</definedName>
    <definedName name="RedFlag_187" localSheetId="13">#REF!</definedName>
    <definedName name="RedFlag_187" localSheetId="7">#REF!</definedName>
    <definedName name="RedFlag_187" localSheetId="1">#REF!</definedName>
    <definedName name="RedFlag_187" localSheetId="6">#REF!</definedName>
    <definedName name="RedFlag_187" localSheetId="2">#REF!</definedName>
    <definedName name="RedFlag_187" localSheetId="5">#REF!</definedName>
    <definedName name="RedFlag_187" localSheetId="0">#REF!</definedName>
    <definedName name="RedFlag_187" localSheetId="9">#REF!</definedName>
    <definedName name="RedFlag_187" localSheetId="11">#REF!</definedName>
    <definedName name="RedFlag_187" localSheetId="4">#REF!</definedName>
    <definedName name="RedFlag_187">#REF!</definedName>
    <definedName name="RedFlag_188" localSheetId="13">#REF!</definedName>
    <definedName name="RedFlag_188" localSheetId="7">#REF!</definedName>
    <definedName name="RedFlag_188" localSheetId="1">#REF!</definedName>
    <definedName name="RedFlag_188" localSheetId="6">#REF!</definedName>
    <definedName name="RedFlag_188" localSheetId="2">#REF!</definedName>
    <definedName name="RedFlag_188" localSheetId="5">#REF!</definedName>
    <definedName name="RedFlag_188" localSheetId="0">#REF!</definedName>
    <definedName name="RedFlag_188" localSheetId="9">#REF!</definedName>
    <definedName name="RedFlag_188" localSheetId="11">#REF!</definedName>
    <definedName name="RedFlag_188" localSheetId="4">#REF!</definedName>
    <definedName name="RedFlag_188">#REF!</definedName>
    <definedName name="RedFlag_189" localSheetId="13">#REF!</definedName>
    <definedName name="RedFlag_189" localSheetId="7">#REF!</definedName>
    <definedName name="RedFlag_189" localSheetId="1">#REF!</definedName>
    <definedName name="RedFlag_189" localSheetId="6">#REF!</definedName>
    <definedName name="RedFlag_189" localSheetId="2">#REF!</definedName>
    <definedName name="RedFlag_189" localSheetId="5">#REF!</definedName>
    <definedName name="RedFlag_189" localSheetId="0">#REF!</definedName>
    <definedName name="RedFlag_189" localSheetId="9">#REF!</definedName>
    <definedName name="RedFlag_189" localSheetId="11">#REF!</definedName>
    <definedName name="RedFlag_189" localSheetId="4">#REF!</definedName>
    <definedName name="RedFlag_189">#REF!</definedName>
    <definedName name="RedFlag_19" localSheetId="13">#REF!</definedName>
    <definedName name="RedFlag_19" localSheetId="7">#REF!</definedName>
    <definedName name="RedFlag_19" localSheetId="1">#REF!</definedName>
    <definedName name="RedFlag_19" localSheetId="6">#REF!</definedName>
    <definedName name="RedFlag_19" localSheetId="2">#REF!</definedName>
    <definedName name="RedFlag_19" localSheetId="5">#REF!</definedName>
    <definedName name="RedFlag_19" localSheetId="0">#REF!</definedName>
    <definedName name="RedFlag_19" localSheetId="9">#REF!</definedName>
    <definedName name="RedFlag_19" localSheetId="11">#REF!</definedName>
    <definedName name="RedFlag_19" localSheetId="4">#REF!</definedName>
    <definedName name="RedFlag_19">#REF!</definedName>
    <definedName name="RedFlag_190" localSheetId="13">#REF!</definedName>
    <definedName name="RedFlag_190" localSheetId="7">#REF!</definedName>
    <definedName name="RedFlag_190" localSheetId="1">#REF!</definedName>
    <definedName name="RedFlag_190" localSheetId="6">#REF!</definedName>
    <definedName name="RedFlag_190" localSheetId="2">#REF!</definedName>
    <definedName name="RedFlag_190" localSheetId="5">#REF!</definedName>
    <definedName name="RedFlag_190" localSheetId="0">#REF!</definedName>
    <definedName name="RedFlag_190" localSheetId="9">#REF!</definedName>
    <definedName name="RedFlag_190" localSheetId="11">#REF!</definedName>
    <definedName name="RedFlag_190" localSheetId="4">#REF!</definedName>
    <definedName name="RedFlag_190">#REF!</definedName>
    <definedName name="RedFlag_191" localSheetId="13">#REF!</definedName>
    <definedName name="RedFlag_191" localSheetId="7">#REF!</definedName>
    <definedName name="RedFlag_191" localSheetId="1">#REF!</definedName>
    <definedName name="RedFlag_191" localSheetId="6">#REF!</definedName>
    <definedName name="RedFlag_191" localSheetId="2">#REF!</definedName>
    <definedName name="RedFlag_191" localSheetId="5">#REF!</definedName>
    <definedName name="RedFlag_191" localSheetId="0">#REF!</definedName>
    <definedName name="RedFlag_191" localSheetId="9">#REF!</definedName>
    <definedName name="RedFlag_191" localSheetId="11">#REF!</definedName>
    <definedName name="RedFlag_191" localSheetId="4">#REF!</definedName>
    <definedName name="RedFlag_191">#REF!</definedName>
    <definedName name="RedFlag_192" localSheetId="13">#REF!</definedName>
    <definedName name="RedFlag_192" localSheetId="7">#REF!</definedName>
    <definedName name="RedFlag_192" localSheetId="1">#REF!</definedName>
    <definedName name="RedFlag_192" localSheetId="6">#REF!</definedName>
    <definedName name="RedFlag_192" localSheetId="2">#REF!</definedName>
    <definedName name="RedFlag_192" localSheetId="5">#REF!</definedName>
    <definedName name="RedFlag_192" localSheetId="0">#REF!</definedName>
    <definedName name="RedFlag_192" localSheetId="9">#REF!</definedName>
    <definedName name="RedFlag_192" localSheetId="11">#REF!</definedName>
    <definedName name="RedFlag_192" localSheetId="4">#REF!</definedName>
    <definedName name="RedFlag_192">#REF!</definedName>
    <definedName name="RedFlag_193" localSheetId="13">#REF!</definedName>
    <definedName name="RedFlag_193" localSheetId="7">#REF!</definedName>
    <definedName name="RedFlag_193" localSheetId="1">#REF!</definedName>
    <definedName name="RedFlag_193" localSheetId="6">#REF!</definedName>
    <definedName name="RedFlag_193" localSheetId="2">#REF!</definedName>
    <definedName name="RedFlag_193" localSheetId="5">#REF!</definedName>
    <definedName name="RedFlag_193" localSheetId="0">#REF!</definedName>
    <definedName name="RedFlag_193" localSheetId="9">#REF!</definedName>
    <definedName name="RedFlag_193" localSheetId="11">#REF!</definedName>
    <definedName name="RedFlag_193" localSheetId="4">#REF!</definedName>
    <definedName name="RedFlag_193">#REF!</definedName>
    <definedName name="RedFlag_194" localSheetId="13">#REF!</definedName>
    <definedName name="RedFlag_194" localSheetId="7">#REF!</definedName>
    <definedName name="RedFlag_194" localSheetId="1">#REF!</definedName>
    <definedName name="RedFlag_194" localSheetId="6">#REF!</definedName>
    <definedName name="RedFlag_194" localSheetId="2">#REF!</definedName>
    <definedName name="RedFlag_194" localSheetId="5">#REF!</definedName>
    <definedName name="RedFlag_194" localSheetId="0">#REF!</definedName>
    <definedName name="RedFlag_194" localSheetId="9">#REF!</definedName>
    <definedName name="RedFlag_194" localSheetId="11">#REF!</definedName>
    <definedName name="RedFlag_194" localSheetId="4">#REF!</definedName>
    <definedName name="RedFlag_194">#REF!</definedName>
    <definedName name="RedFlag_195" localSheetId="13">#REF!</definedName>
    <definedName name="RedFlag_195" localSheetId="7">#REF!</definedName>
    <definedName name="RedFlag_195" localSheetId="1">#REF!</definedName>
    <definedName name="RedFlag_195" localSheetId="6">#REF!</definedName>
    <definedName name="RedFlag_195" localSheetId="2">#REF!</definedName>
    <definedName name="RedFlag_195" localSheetId="5">#REF!</definedName>
    <definedName name="RedFlag_195" localSheetId="0">#REF!</definedName>
    <definedName name="RedFlag_195" localSheetId="9">#REF!</definedName>
    <definedName name="RedFlag_195" localSheetId="11">#REF!</definedName>
    <definedName name="RedFlag_195" localSheetId="4">#REF!</definedName>
    <definedName name="RedFlag_195">#REF!</definedName>
    <definedName name="RedFlag_196" localSheetId="13">#REF!</definedName>
    <definedName name="RedFlag_196" localSheetId="7">#REF!</definedName>
    <definedName name="RedFlag_196" localSheetId="1">#REF!</definedName>
    <definedName name="RedFlag_196" localSheetId="6">#REF!</definedName>
    <definedName name="RedFlag_196" localSheetId="2">#REF!</definedName>
    <definedName name="RedFlag_196" localSheetId="5">#REF!</definedName>
    <definedName name="RedFlag_196" localSheetId="0">#REF!</definedName>
    <definedName name="RedFlag_196" localSheetId="9">#REF!</definedName>
    <definedName name="RedFlag_196" localSheetId="11">#REF!</definedName>
    <definedName name="RedFlag_196" localSheetId="4">#REF!</definedName>
    <definedName name="RedFlag_196">#REF!</definedName>
    <definedName name="RedFlag_197" localSheetId="13">#REF!</definedName>
    <definedName name="RedFlag_197" localSheetId="7">#REF!</definedName>
    <definedName name="RedFlag_197" localSheetId="1">#REF!</definedName>
    <definedName name="RedFlag_197" localSheetId="6">#REF!</definedName>
    <definedName name="RedFlag_197" localSheetId="2">#REF!</definedName>
    <definedName name="RedFlag_197" localSheetId="5">#REF!</definedName>
    <definedName name="RedFlag_197" localSheetId="0">#REF!</definedName>
    <definedName name="RedFlag_197" localSheetId="9">#REF!</definedName>
    <definedName name="RedFlag_197" localSheetId="11">#REF!</definedName>
    <definedName name="RedFlag_197" localSheetId="4">#REF!</definedName>
    <definedName name="RedFlag_197">#REF!</definedName>
    <definedName name="RedFlag_198" localSheetId="13">#REF!</definedName>
    <definedName name="RedFlag_198" localSheetId="7">#REF!</definedName>
    <definedName name="RedFlag_198" localSheetId="1">#REF!</definedName>
    <definedName name="RedFlag_198" localSheetId="6">#REF!</definedName>
    <definedName name="RedFlag_198" localSheetId="2">#REF!</definedName>
    <definedName name="RedFlag_198" localSheetId="5">#REF!</definedName>
    <definedName name="RedFlag_198" localSheetId="0">#REF!</definedName>
    <definedName name="RedFlag_198" localSheetId="9">#REF!</definedName>
    <definedName name="RedFlag_198" localSheetId="11">#REF!</definedName>
    <definedName name="RedFlag_198" localSheetId="4">#REF!</definedName>
    <definedName name="RedFlag_198">#REF!</definedName>
    <definedName name="RedFlag_199" localSheetId="13">#REF!</definedName>
    <definedName name="RedFlag_199" localSheetId="7">#REF!</definedName>
    <definedName name="RedFlag_199" localSheetId="1">#REF!</definedName>
    <definedName name="RedFlag_199" localSheetId="6">#REF!</definedName>
    <definedName name="RedFlag_199" localSheetId="2">#REF!</definedName>
    <definedName name="RedFlag_199" localSheetId="5">#REF!</definedName>
    <definedName name="RedFlag_199" localSheetId="0">#REF!</definedName>
    <definedName name="RedFlag_199" localSheetId="9">#REF!</definedName>
    <definedName name="RedFlag_199" localSheetId="11">#REF!</definedName>
    <definedName name="RedFlag_199" localSheetId="4">#REF!</definedName>
    <definedName name="RedFlag_199">#REF!</definedName>
    <definedName name="RedFlag_2" localSheetId="13">#REF!</definedName>
    <definedName name="RedFlag_2" localSheetId="7">#REF!</definedName>
    <definedName name="RedFlag_2" localSheetId="1">#REF!</definedName>
    <definedName name="RedFlag_2" localSheetId="6">#REF!</definedName>
    <definedName name="RedFlag_2" localSheetId="2">#REF!</definedName>
    <definedName name="RedFlag_2" localSheetId="5">#REF!</definedName>
    <definedName name="RedFlag_2" localSheetId="0">#REF!</definedName>
    <definedName name="RedFlag_2" localSheetId="9">#REF!</definedName>
    <definedName name="RedFlag_2" localSheetId="11">#REF!</definedName>
    <definedName name="RedFlag_2" localSheetId="4">#REF!</definedName>
    <definedName name="RedFlag_2">#REF!</definedName>
    <definedName name="RedFlag_20" localSheetId="13">#REF!</definedName>
    <definedName name="RedFlag_20" localSheetId="7">#REF!</definedName>
    <definedName name="RedFlag_20" localSheetId="1">#REF!</definedName>
    <definedName name="RedFlag_20" localSheetId="6">#REF!</definedName>
    <definedName name="RedFlag_20" localSheetId="2">#REF!</definedName>
    <definedName name="RedFlag_20" localSheetId="5">#REF!</definedName>
    <definedName name="RedFlag_20" localSheetId="0">#REF!</definedName>
    <definedName name="RedFlag_20" localSheetId="9">#REF!</definedName>
    <definedName name="RedFlag_20" localSheetId="11">#REF!</definedName>
    <definedName name="RedFlag_20" localSheetId="4">#REF!</definedName>
    <definedName name="RedFlag_20">#REF!</definedName>
    <definedName name="RedFlag_200" localSheetId="13">#REF!</definedName>
    <definedName name="RedFlag_200" localSheetId="7">#REF!</definedName>
    <definedName name="RedFlag_200" localSheetId="1">#REF!</definedName>
    <definedName name="RedFlag_200" localSheetId="6">#REF!</definedName>
    <definedName name="RedFlag_200" localSheetId="2">#REF!</definedName>
    <definedName name="RedFlag_200" localSheetId="5">#REF!</definedName>
    <definedName name="RedFlag_200" localSheetId="0">#REF!</definedName>
    <definedName name="RedFlag_200" localSheetId="9">#REF!</definedName>
    <definedName name="RedFlag_200" localSheetId="11">#REF!</definedName>
    <definedName name="RedFlag_200" localSheetId="4">#REF!</definedName>
    <definedName name="RedFlag_200">#REF!</definedName>
    <definedName name="RedFlag_201" localSheetId="13">#REF!</definedName>
    <definedName name="RedFlag_201" localSheetId="7">#REF!</definedName>
    <definedName name="RedFlag_201" localSheetId="1">#REF!</definedName>
    <definedName name="RedFlag_201" localSheetId="6">#REF!</definedName>
    <definedName name="RedFlag_201" localSheetId="2">#REF!</definedName>
    <definedName name="RedFlag_201" localSheetId="5">#REF!</definedName>
    <definedName name="RedFlag_201" localSheetId="0">#REF!</definedName>
    <definedName name="RedFlag_201" localSheetId="9">#REF!</definedName>
    <definedName name="RedFlag_201" localSheetId="11">#REF!</definedName>
    <definedName name="RedFlag_201" localSheetId="4">#REF!</definedName>
    <definedName name="RedFlag_201">#REF!</definedName>
    <definedName name="RedFlag_202" localSheetId="13">#REF!</definedName>
    <definedName name="RedFlag_202" localSheetId="7">#REF!</definedName>
    <definedName name="RedFlag_202" localSheetId="1">#REF!</definedName>
    <definedName name="RedFlag_202" localSheetId="6">#REF!</definedName>
    <definedName name="RedFlag_202" localSheetId="2">#REF!</definedName>
    <definedName name="RedFlag_202" localSheetId="5">#REF!</definedName>
    <definedName name="RedFlag_202" localSheetId="0">#REF!</definedName>
    <definedName name="RedFlag_202" localSheetId="9">#REF!</definedName>
    <definedName name="RedFlag_202" localSheetId="11">#REF!</definedName>
    <definedName name="RedFlag_202" localSheetId="4">#REF!</definedName>
    <definedName name="RedFlag_202">#REF!</definedName>
    <definedName name="RedFlag_203" localSheetId="13">#REF!</definedName>
    <definedName name="RedFlag_203" localSheetId="7">#REF!</definedName>
    <definedName name="RedFlag_203" localSheetId="1">#REF!</definedName>
    <definedName name="RedFlag_203" localSheetId="6">#REF!</definedName>
    <definedName name="RedFlag_203" localSheetId="2">#REF!</definedName>
    <definedName name="RedFlag_203" localSheetId="5">#REF!</definedName>
    <definedName name="RedFlag_203" localSheetId="0">#REF!</definedName>
    <definedName name="RedFlag_203" localSheetId="9">#REF!</definedName>
    <definedName name="RedFlag_203" localSheetId="11">#REF!</definedName>
    <definedName name="RedFlag_203" localSheetId="4">#REF!</definedName>
    <definedName name="RedFlag_203">#REF!</definedName>
    <definedName name="RedFlag_21" localSheetId="13">#REF!</definedName>
    <definedName name="RedFlag_21" localSheetId="7">#REF!</definedName>
    <definedName name="RedFlag_21" localSheetId="1">#REF!</definedName>
    <definedName name="RedFlag_21" localSheetId="6">#REF!</definedName>
    <definedName name="RedFlag_21" localSheetId="2">#REF!</definedName>
    <definedName name="RedFlag_21" localSheetId="5">#REF!</definedName>
    <definedName name="RedFlag_21" localSheetId="0">#REF!</definedName>
    <definedName name="RedFlag_21" localSheetId="9">#REF!</definedName>
    <definedName name="RedFlag_21" localSheetId="11">#REF!</definedName>
    <definedName name="RedFlag_21" localSheetId="4">#REF!</definedName>
    <definedName name="RedFlag_21">#REF!</definedName>
    <definedName name="RedFlag_22" localSheetId="13">#REF!</definedName>
    <definedName name="RedFlag_22" localSheetId="7">#REF!</definedName>
    <definedName name="RedFlag_22" localSheetId="1">#REF!</definedName>
    <definedName name="RedFlag_22" localSheetId="6">#REF!</definedName>
    <definedName name="RedFlag_22" localSheetId="2">#REF!</definedName>
    <definedName name="RedFlag_22" localSheetId="5">#REF!</definedName>
    <definedName name="RedFlag_22" localSheetId="0">#REF!</definedName>
    <definedName name="RedFlag_22" localSheetId="9">#REF!</definedName>
    <definedName name="RedFlag_22" localSheetId="11">#REF!</definedName>
    <definedName name="RedFlag_22" localSheetId="4">#REF!</definedName>
    <definedName name="RedFlag_22">#REF!</definedName>
    <definedName name="RedFlag_23" localSheetId="13">#REF!</definedName>
    <definedName name="RedFlag_23" localSheetId="7">#REF!</definedName>
    <definedName name="RedFlag_23" localSheetId="1">#REF!</definedName>
    <definedName name="RedFlag_23" localSheetId="6">#REF!</definedName>
    <definedName name="RedFlag_23" localSheetId="2">#REF!</definedName>
    <definedName name="RedFlag_23" localSheetId="5">#REF!</definedName>
    <definedName name="RedFlag_23" localSheetId="0">#REF!</definedName>
    <definedName name="RedFlag_23" localSheetId="9">#REF!</definedName>
    <definedName name="RedFlag_23" localSheetId="11">#REF!</definedName>
    <definedName name="RedFlag_23" localSheetId="4">#REF!</definedName>
    <definedName name="RedFlag_23">#REF!</definedName>
    <definedName name="RedFlag_25" localSheetId="13">#REF!</definedName>
    <definedName name="RedFlag_25" localSheetId="7">#REF!</definedName>
    <definedName name="RedFlag_25" localSheetId="1">#REF!</definedName>
    <definedName name="RedFlag_25" localSheetId="6">#REF!</definedName>
    <definedName name="RedFlag_25" localSheetId="2">#REF!</definedName>
    <definedName name="RedFlag_25" localSheetId="5">#REF!</definedName>
    <definedName name="RedFlag_25" localSheetId="0">#REF!</definedName>
    <definedName name="RedFlag_25" localSheetId="9">#REF!</definedName>
    <definedName name="RedFlag_25" localSheetId="11">#REF!</definedName>
    <definedName name="RedFlag_25" localSheetId="4">#REF!</definedName>
    <definedName name="RedFlag_25">#REF!</definedName>
    <definedName name="RedFlag_26" localSheetId="13">#REF!</definedName>
    <definedName name="RedFlag_26" localSheetId="7">#REF!</definedName>
    <definedName name="RedFlag_26" localSheetId="1">#REF!</definedName>
    <definedName name="RedFlag_26" localSheetId="6">#REF!</definedName>
    <definedName name="RedFlag_26" localSheetId="2">#REF!</definedName>
    <definedName name="RedFlag_26" localSheetId="5">#REF!</definedName>
    <definedName name="RedFlag_26" localSheetId="0">#REF!</definedName>
    <definedName name="RedFlag_26" localSheetId="9">#REF!</definedName>
    <definedName name="RedFlag_26" localSheetId="11">#REF!</definedName>
    <definedName name="RedFlag_26" localSheetId="4">#REF!</definedName>
    <definedName name="RedFlag_26">#REF!</definedName>
    <definedName name="RedFlag_27" localSheetId="13">#REF!</definedName>
    <definedName name="RedFlag_27" localSheetId="7">#REF!</definedName>
    <definedName name="RedFlag_27" localSheetId="1">#REF!</definedName>
    <definedName name="RedFlag_27" localSheetId="6">#REF!</definedName>
    <definedName name="RedFlag_27" localSheetId="2">#REF!</definedName>
    <definedName name="RedFlag_27" localSheetId="5">#REF!</definedName>
    <definedName name="RedFlag_27" localSheetId="0">#REF!</definedName>
    <definedName name="RedFlag_27" localSheetId="9">#REF!</definedName>
    <definedName name="RedFlag_27" localSheetId="11">#REF!</definedName>
    <definedName name="RedFlag_27" localSheetId="4">#REF!</definedName>
    <definedName name="RedFlag_27">#REF!</definedName>
    <definedName name="RedFlag_28" localSheetId="13">#REF!</definedName>
    <definedName name="RedFlag_28" localSheetId="7">#REF!</definedName>
    <definedName name="RedFlag_28" localSheetId="1">#REF!</definedName>
    <definedName name="RedFlag_28" localSheetId="6">#REF!</definedName>
    <definedName name="RedFlag_28" localSheetId="2">#REF!</definedName>
    <definedName name="RedFlag_28" localSheetId="5">#REF!</definedName>
    <definedName name="RedFlag_28" localSheetId="0">#REF!</definedName>
    <definedName name="RedFlag_28" localSheetId="9">#REF!</definedName>
    <definedName name="RedFlag_28" localSheetId="11">#REF!</definedName>
    <definedName name="RedFlag_28" localSheetId="4">#REF!</definedName>
    <definedName name="RedFlag_28">#REF!</definedName>
    <definedName name="RedFlag_29" localSheetId="13">#REF!</definedName>
    <definedName name="RedFlag_29" localSheetId="7">#REF!</definedName>
    <definedName name="RedFlag_29" localSheetId="1">#REF!</definedName>
    <definedName name="RedFlag_29" localSheetId="6">#REF!</definedName>
    <definedName name="RedFlag_29" localSheetId="2">#REF!</definedName>
    <definedName name="RedFlag_29" localSheetId="5">#REF!</definedName>
    <definedName name="RedFlag_29" localSheetId="0">#REF!</definedName>
    <definedName name="RedFlag_29" localSheetId="9">#REF!</definedName>
    <definedName name="RedFlag_29" localSheetId="11">#REF!</definedName>
    <definedName name="RedFlag_29" localSheetId="4">#REF!</definedName>
    <definedName name="RedFlag_29">#REF!</definedName>
    <definedName name="RedFlag_30" localSheetId="13">#REF!</definedName>
    <definedName name="RedFlag_30" localSheetId="7">#REF!</definedName>
    <definedName name="RedFlag_30" localSheetId="1">#REF!</definedName>
    <definedName name="RedFlag_30" localSheetId="6">#REF!</definedName>
    <definedName name="RedFlag_30" localSheetId="2">#REF!</definedName>
    <definedName name="RedFlag_30" localSheetId="5">#REF!</definedName>
    <definedName name="RedFlag_30" localSheetId="0">#REF!</definedName>
    <definedName name="RedFlag_30" localSheetId="9">#REF!</definedName>
    <definedName name="RedFlag_30" localSheetId="11">#REF!</definedName>
    <definedName name="RedFlag_30" localSheetId="4">#REF!</definedName>
    <definedName name="RedFlag_30">#REF!</definedName>
    <definedName name="RedFlag_3011" localSheetId="13">#REF!</definedName>
    <definedName name="RedFlag_3011" localSheetId="7">#REF!</definedName>
    <definedName name="RedFlag_3011" localSheetId="1">#REF!</definedName>
    <definedName name="RedFlag_3011" localSheetId="6">#REF!</definedName>
    <definedName name="RedFlag_3011" localSheetId="2">#REF!</definedName>
    <definedName name="RedFlag_3011" localSheetId="5">#REF!</definedName>
    <definedName name="RedFlag_3011" localSheetId="0">#REF!</definedName>
    <definedName name="RedFlag_3011" localSheetId="11">#REF!</definedName>
    <definedName name="RedFlag_3011" localSheetId="4">#REF!</definedName>
    <definedName name="RedFlag_3011">#REF!</definedName>
    <definedName name="RedFlag_31" localSheetId="13">#REF!</definedName>
    <definedName name="RedFlag_31" localSheetId="7">#REF!</definedName>
    <definedName name="RedFlag_31" localSheetId="1">#REF!</definedName>
    <definedName name="RedFlag_31" localSheetId="6">#REF!</definedName>
    <definedName name="RedFlag_31" localSheetId="2">#REF!</definedName>
    <definedName name="RedFlag_31" localSheetId="5">#REF!</definedName>
    <definedName name="RedFlag_31" localSheetId="0">#REF!</definedName>
    <definedName name="RedFlag_31" localSheetId="9">#REF!</definedName>
    <definedName name="RedFlag_31" localSheetId="11">#REF!</definedName>
    <definedName name="RedFlag_31" localSheetId="4">#REF!</definedName>
    <definedName name="RedFlag_31">#REF!</definedName>
    <definedName name="RedFlag_32" localSheetId="13">#REF!</definedName>
    <definedName name="RedFlag_32" localSheetId="7">#REF!</definedName>
    <definedName name="RedFlag_32" localSheetId="1">#REF!</definedName>
    <definedName name="RedFlag_32" localSheetId="6">#REF!</definedName>
    <definedName name="RedFlag_32" localSheetId="2">#REF!</definedName>
    <definedName name="RedFlag_32" localSheetId="5">#REF!</definedName>
    <definedName name="RedFlag_32" localSheetId="0">#REF!</definedName>
    <definedName name="RedFlag_32" localSheetId="9">#REF!</definedName>
    <definedName name="RedFlag_32" localSheetId="11">#REF!</definedName>
    <definedName name="RedFlag_32" localSheetId="4">#REF!</definedName>
    <definedName name="RedFlag_32">#REF!</definedName>
    <definedName name="RedFlag_33" localSheetId="13">#REF!</definedName>
    <definedName name="RedFlag_33" localSheetId="7">#REF!</definedName>
    <definedName name="RedFlag_33" localSheetId="1">#REF!</definedName>
    <definedName name="RedFlag_33" localSheetId="6">#REF!</definedName>
    <definedName name="RedFlag_33" localSheetId="2">#REF!</definedName>
    <definedName name="RedFlag_33" localSheetId="5">#REF!</definedName>
    <definedName name="RedFlag_33" localSheetId="0">#REF!</definedName>
    <definedName name="RedFlag_33" localSheetId="9">#REF!</definedName>
    <definedName name="RedFlag_33" localSheetId="11">#REF!</definedName>
    <definedName name="RedFlag_33" localSheetId="4">#REF!</definedName>
    <definedName name="RedFlag_33">#REF!</definedName>
    <definedName name="RedFlag_34" localSheetId="13">#REF!</definedName>
    <definedName name="RedFlag_34" localSheetId="7">#REF!</definedName>
    <definedName name="RedFlag_34" localSheetId="1">#REF!</definedName>
    <definedName name="RedFlag_34" localSheetId="6">#REF!</definedName>
    <definedName name="RedFlag_34" localSheetId="2">#REF!</definedName>
    <definedName name="RedFlag_34" localSheetId="5">#REF!</definedName>
    <definedName name="RedFlag_34" localSheetId="0">#REF!</definedName>
    <definedName name="RedFlag_34" localSheetId="9">#REF!</definedName>
    <definedName name="RedFlag_34" localSheetId="11">#REF!</definedName>
    <definedName name="RedFlag_34" localSheetId="4">#REF!</definedName>
    <definedName name="RedFlag_34">#REF!</definedName>
    <definedName name="RedFlag_35" localSheetId="13">#REF!</definedName>
    <definedName name="RedFlag_35" localSheetId="7">#REF!</definedName>
    <definedName name="RedFlag_35" localSheetId="1">#REF!</definedName>
    <definedName name="RedFlag_35" localSheetId="6">#REF!</definedName>
    <definedName name="RedFlag_35" localSheetId="2">#REF!</definedName>
    <definedName name="RedFlag_35" localSheetId="5">#REF!</definedName>
    <definedName name="RedFlag_35" localSheetId="0">#REF!</definedName>
    <definedName name="RedFlag_35" localSheetId="9">#REF!</definedName>
    <definedName name="RedFlag_35" localSheetId="11">#REF!</definedName>
    <definedName name="RedFlag_35" localSheetId="4">#REF!</definedName>
    <definedName name="RedFlag_35">#REF!</definedName>
    <definedName name="RedFlag_36" localSheetId="13">#REF!</definedName>
    <definedName name="RedFlag_36" localSheetId="7">#REF!</definedName>
    <definedName name="RedFlag_36" localSheetId="1">#REF!</definedName>
    <definedName name="RedFlag_36" localSheetId="6">#REF!</definedName>
    <definedName name="RedFlag_36" localSheetId="2">#REF!</definedName>
    <definedName name="RedFlag_36" localSheetId="5">#REF!</definedName>
    <definedName name="RedFlag_36" localSheetId="0">#REF!</definedName>
    <definedName name="RedFlag_36" localSheetId="9">#REF!</definedName>
    <definedName name="RedFlag_36" localSheetId="11">#REF!</definedName>
    <definedName name="RedFlag_36" localSheetId="4">#REF!</definedName>
    <definedName name="RedFlag_36">#REF!</definedName>
    <definedName name="RedFlag_37" localSheetId="13">#REF!</definedName>
    <definedName name="RedFlag_37" localSheetId="7">#REF!</definedName>
    <definedName name="RedFlag_37" localSheetId="1">#REF!</definedName>
    <definedName name="RedFlag_37" localSheetId="6">#REF!</definedName>
    <definedName name="RedFlag_37" localSheetId="2">#REF!</definedName>
    <definedName name="RedFlag_37" localSheetId="5">#REF!</definedName>
    <definedName name="RedFlag_37" localSheetId="0">#REF!</definedName>
    <definedName name="RedFlag_37" localSheetId="9">#REF!</definedName>
    <definedName name="RedFlag_37" localSheetId="11">#REF!</definedName>
    <definedName name="RedFlag_37" localSheetId="4">#REF!</definedName>
    <definedName name="RedFlag_37">#REF!</definedName>
    <definedName name="RedFlag_38" localSheetId="13">#REF!</definedName>
    <definedName name="RedFlag_38" localSheetId="7">#REF!</definedName>
    <definedName name="RedFlag_38" localSheetId="1">#REF!</definedName>
    <definedName name="RedFlag_38" localSheetId="6">#REF!</definedName>
    <definedName name="RedFlag_38" localSheetId="2">#REF!</definedName>
    <definedName name="RedFlag_38" localSheetId="5">#REF!</definedName>
    <definedName name="RedFlag_38" localSheetId="0">#REF!</definedName>
    <definedName name="RedFlag_38" localSheetId="9">#REF!</definedName>
    <definedName name="RedFlag_38" localSheetId="11">#REF!</definedName>
    <definedName name="RedFlag_38" localSheetId="4">#REF!</definedName>
    <definedName name="RedFlag_38">#REF!</definedName>
    <definedName name="RedFlag_39" localSheetId="13">#REF!</definedName>
    <definedName name="RedFlag_39" localSheetId="7">#REF!</definedName>
    <definedName name="RedFlag_39" localSheetId="1">#REF!</definedName>
    <definedName name="RedFlag_39" localSheetId="6">#REF!</definedName>
    <definedName name="RedFlag_39" localSheetId="2">#REF!</definedName>
    <definedName name="RedFlag_39" localSheetId="5">#REF!</definedName>
    <definedName name="RedFlag_39" localSheetId="0">#REF!</definedName>
    <definedName name="RedFlag_39" localSheetId="9">#REF!</definedName>
    <definedName name="RedFlag_39" localSheetId="11">#REF!</definedName>
    <definedName name="RedFlag_39" localSheetId="4">#REF!</definedName>
    <definedName name="RedFlag_39">#REF!</definedName>
    <definedName name="RedFlag_40" localSheetId="13">#REF!</definedName>
    <definedName name="RedFlag_40" localSheetId="7">#REF!</definedName>
    <definedName name="RedFlag_40" localSheetId="1">#REF!</definedName>
    <definedName name="RedFlag_40" localSheetId="6">#REF!</definedName>
    <definedName name="RedFlag_40" localSheetId="2">#REF!</definedName>
    <definedName name="RedFlag_40" localSheetId="5">#REF!</definedName>
    <definedName name="RedFlag_40" localSheetId="0">#REF!</definedName>
    <definedName name="RedFlag_40" localSheetId="9">#REF!</definedName>
    <definedName name="RedFlag_40" localSheetId="11">#REF!</definedName>
    <definedName name="RedFlag_40" localSheetId="4">#REF!</definedName>
    <definedName name="RedFlag_40">#REF!</definedName>
    <definedName name="RedFlag_41" localSheetId="13">#REF!</definedName>
    <definedName name="RedFlag_41" localSheetId="7">#REF!</definedName>
    <definedName name="RedFlag_41" localSheetId="1">#REF!</definedName>
    <definedName name="RedFlag_41" localSheetId="6">#REF!</definedName>
    <definedName name="RedFlag_41" localSheetId="2">#REF!</definedName>
    <definedName name="RedFlag_41" localSheetId="5">#REF!</definedName>
    <definedName name="RedFlag_41" localSheetId="0">#REF!</definedName>
    <definedName name="RedFlag_41" localSheetId="9">#REF!</definedName>
    <definedName name="RedFlag_41" localSheetId="11">#REF!</definedName>
    <definedName name="RedFlag_41" localSheetId="4">#REF!</definedName>
    <definedName name="RedFlag_41">#REF!</definedName>
    <definedName name="RedFlag_42" localSheetId="13">#REF!</definedName>
    <definedName name="RedFlag_42" localSheetId="7">#REF!</definedName>
    <definedName name="RedFlag_42" localSheetId="1">#REF!</definedName>
    <definedName name="RedFlag_42" localSheetId="6">#REF!</definedName>
    <definedName name="RedFlag_42" localSheetId="2">#REF!</definedName>
    <definedName name="RedFlag_42" localSheetId="5">#REF!</definedName>
    <definedName name="RedFlag_42" localSheetId="0">#REF!</definedName>
    <definedName name="RedFlag_42" localSheetId="9">#REF!</definedName>
    <definedName name="RedFlag_42" localSheetId="11">#REF!</definedName>
    <definedName name="RedFlag_42" localSheetId="4">#REF!</definedName>
    <definedName name="RedFlag_42">#REF!</definedName>
    <definedName name="RedFlag_43" localSheetId="13">#REF!</definedName>
    <definedName name="RedFlag_43" localSheetId="7">#REF!</definedName>
    <definedName name="RedFlag_43" localSheetId="1">#REF!</definedName>
    <definedName name="RedFlag_43" localSheetId="6">#REF!</definedName>
    <definedName name="RedFlag_43" localSheetId="2">#REF!</definedName>
    <definedName name="RedFlag_43" localSheetId="5">#REF!</definedName>
    <definedName name="RedFlag_43" localSheetId="0">#REF!</definedName>
    <definedName name="RedFlag_43" localSheetId="9">#REF!</definedName>
    <definedName name="RedFlag_43" localSheetId="11">#REF!</definedName>
    <definedName name="RedFlag_43" localSheetId="4">#REF!</definedName>
    <definedName name="RedFlag_43">#REF!</definedName>
    <definedName name="RedFlag_49" localSheetId="13">#REF!</definedName>
    <definedName name="RedFlag_49" localSheetId="7">#REF!</definedName>
    <definedName name="RedFlag_49" localSheetId="1">#REF!</definedName>
    <definedName name="RedFlag_49" localSheetId="6">#REF!</definedName>
    <definedName name="RedFlag_49" localSheetId="2">#REF!</definedName>
    <definedName name="RedFlag_49" localSheetId="5">#REF!</definedName>
    <definedName name="RedFlag_49" localSheetId="0">#REF!</definedName>
    <definedName name="RedFlag_49" localSheetId="9">#REF!</definedName>
    <definedName name="RedFlag_49" localSheetId="11">#REF!</definedName>
    <definedName name="RedFlag_49" localSheetId="4">#REF!</definedName>
    <definedName name="RedFlag_49">#REF!</definedName>
    <definedName name="RedFlag_50" localSheetId="13">#REF!</definedName>
    <definedName name="RedFlag_50" localSheetId="7">#REF!</definedName>
    <definedName name="RedFlag_50" localSheetId="1">#REF!</definedName>
    <definedName name="RedFlag_50" localSheetId="6">#REF!</definedName>
    <definedName name="RedFlag_50" localSheetId="2">#REF!</definedName>
    <definedName name="RedFlag_50" localSheetId="5">#REF!</definedName>
    <definedName name="RedFlag_50" localSheetId="0">#REF!</definedName>
    <definedName name="RedFlag_50" localSheetId="9">#REF!</definedName>
    <definedName name="RedFlag_50" localSheetId="11">#REF!</definedName>
    <definedName name="RedFlag_50" localSheetId="4">#REF!</definedName>
    <definedName name="RedFlag_50">#REF!</definedName>
    <definedName name="RedFlag_51" localSheetId="13">#REF!</definedName>
    <definedName name="RedFlag_51" localSheetId="7">#REF!</definedName>
    <definedName name="RedFlag_51" localSheetId="1">#REF!</definedName>
    <definedName name="RedFlag_51" localSheetId="6">#REF!</definedName>
    <definedName name="RedFlag_51" localSheetId="2">#REF!</definedName>
    <definedName name="RedFlag_51" localSheetId="5">#REF!</definedName>
    <definedName name="RedFlag_51" localSheetId="0">#REF!</definedName>
    <definedName name="RedFlag_51" localSheetId="9">#REF!</definedName>
    <definedName name="RedFlag_51" localSheetId="11">#REF!</definedName>
    <definedName name="RedFlag_51" localSheetId="4">#REF!</definedName>
    <definedName name="RedFlag_51">#REF!</definedName>
    <definedName name="RedFlag_52" localSheetId="13">#REF!</definedName>
    <definedName name="RedFlag_52" localSheetId="7">#REF!</definedName>
    <definedName name="RedFlag_52" localSheetId="1">#REF!</definedName>
    <definedName name="RedFlag_52" localSheetId="6">#REF!</definedName>
    <definedName name="RedFlag_52" localSheetId="2">#REF!</definedName>
    <definedName name="RedFlag_52" localSheetId="5">#REF!</definedName>
    <definedName name="RedFlag_52" localSheetId="0">#REF!</definedName>
    <definedName name="RedFlag_52" localSheetId="9">#REF!</definedName>
    <definedName name="RedFlag_52" localSheetId="11">#REF!</definedName>
    <definedName name="RedFlag_52" localSheetId="4">#REF!</definedName>
    <definedName name="RedFlag_52">#REF!</definedName>
    <definedName name="RedFlag_53" localSheetId="13">#REF!</definedName>
    <definedName name="RedFlag_53" localSheetId="7">#REF!</definedName>
    <definedName name="RedFlag_53" localSheetId="1">#REF!</definedName>
    <definedName name="RedFlag_53" localSheetId="6">#REF!</definedName>
    <definedName name="RedFlag_53" localSheetId="2">#REF!</definedName>
    <definedName name="RedFlag_53" localSheetId="5">#REF!</definedName>
    <definedName name="RedFlag_53" localSheetId="0">#REF!</definedName>
    <definedName name="RedFlag_53" localSheetId="9">#REF!</definedName>
    <definedName name="RedFlag_53" localSheetId="11">#REF!</definedName>
    <definedName name="RedFlag_53" localSheetId="4">#REF!</definedName>
    <definedName name="RedFlag_53">#REF!</definedName>
    <definedName name="RedFlag_54" localSheetId="13">#REF!</definedName>
    <definedName name="RedFlag_54" localSheetId="7">#REF!</definedName>
    <definedName name="RedFlag_54" localSheetId="1">#REF!</definedName>
    <definedName name="RedFlag_54" localSheetId="6">#REF!</definedName>
    <definedName name="RedFlag_54" localSheetId="2">#REF!</definedName>
    <definedName name="RedFlag_54" localSheetId="5">#REF!</definedName>
    <definedName name="RedFlag_54" localSheetId="0">#REF!</definedName>
    <definedName name="RedFlag_54" localSheetId="9">#REF!</definedName>
    <definedName name="RedFlag_54" localSheetId="11">#REF!</definedName>
    <definedName name="RedFlag_54" localSheetId="4">#REF!</definedName>
    <definedName name="RedFlag_54">#REF!</definedName>
    <definedName name="RedFlag_56" localSheetId="13">#REF!</definedName>
    <definedName name="RedFlag_56" localSheetId="7">#REF!</definedName>
    <definedName name="RedFlag_56" localSheetId="1">#REF!</definedName>
    <definedName name="RedFlag_56" localSheetId="6">#REF!</definedName>
    <definedName name="RedFlag_56" localSheetId="2">#REF!</definedName>
    <definedName name="RedFlag_56" localSheetId="5">#REF!</definedName>
    <definedName name="RedFlag_56" localSheetId="0">#REF!</definedName>
    <definedName name="RedFlag_56" localSheetId="9">#REF!</definedName>
    <definedName name="RedFlag_56" localSheetId="11">#REF!</definedName>
    <definedName name="RedFlag_56" localSheetId="4">#REF!</definedName>
    <definedName name="RedFlag_56">#REF!</definedName>
    <definedName name="RedFlag_57" localSheetId="13">#REF!</definedName>
    <definedName name="RedFlag_57" localSheetId="7">#REF!</definedName>
    <definedName name="RedFlag_57" localSheetId="1">#REF!</definedName>
    <definedName name="RedFlag_57" localSheetId="6">#REF!</definedName>
    <definedName name="RedFlag_57" localSheetId="2">#REF!</definedName>
    <definedName name="RedFlag_57" localSheetId="5">#REF!</definedName>
    <definedName name="RedFlag_57" localSheetId="0">#REF!</definedName>
    <definedName name="RedFlag_57" localSheetId="9">#REF!</definedName>
    <definedName name="RedFlag_57" localSheetId="11">#REF!</definedName>
    <definedName name="RedFlag_57" localSheetId="4">#REF!</definedName>
    <definedName name="RedFlag_57">#REF!</definedName>
    <definedName name="RedFlag_58" localSheetId="13">#REF!</definedName>
    <definedName name="RedFlag_58" localSheetId="7">#REF!</definedName>
    <definedName name="RedFlag_58" localSheetId="1">#REF!</definedName>
    <definedName name="RedFlag_58" localSheetId="6">#REF!</definedName>
    <definedName name="RedFlag_58" localSheetId="2">#REF!</definedName>
    <definedName name="RedFlag_58" localSheetId="5">#REF!</definedName>
    <definedName name="RedFlag_58" localSheetId="0">#REF!</definedName>
    <definedName name="RedFlag_58" localSheetId="9">#REF!</definedName>
    <definedName name="RedFlag_58" localSheetId="11">#REF!</definedName>
    <definedName name="RedFlag_58" localSheetId="4">#REF!</definedName>
    <definedName name="RedFlag_58">#REF!</definedName>
    <definedName name="RedFlag_59" localSheetId="13">#REF!</definedName>
    <definedName name="RedFlag_59" localSheetId="7">#REF!</definedName>
    <definedName name="RedFlag_59" localSheetId="1">#REF!</definedName>
    <definedName name="RedFlag_59" localSheetId="6">#REF!</definedName>
    <definedName name="RedFlag_59" localSheetId="2">#REF!</definedName>
    <definedName name="RedFlag_59" localSheetId="5">#REF!</definedName>
    <definedName name="RedFlag_59" localSheetId="0">#REF!</definedName>
    <definedName name="RedFlag_59" localSheetId="9">#REF!</definedName>
    <definedName name="RedFlag_59" localSheetId="11">#REF!</definedName>
    <definedName name="RedFlag_59" localSheetId="4">#REF!</definedName>
    <definedName name="RedFlag_59">#REF!</definedName>
    <definedName name="RedFlag_60" localSheetId="13">#REF!</definedName>
    <definedName name="RedFlag_60" localSheetId="7">#REF!</definedName>
    <definedName name="RedFlag_60" localSheetId="1">#REF!</definedName>
    <definedName name="RedFlag_60" localSheetId="6">#REF!</definedName>
    <definedName name="RedFlag_60" localSheetId="2">#REF!</definedName>
    <definedName name="RedFlag_60" localSheetId="5">#REF!</definedName>
    <definedName name="RedFlag_60" localSheetId="0">#REF!</definedName>
    <definedName name="RedFlag_60" localSheetId="9">#REF!</definedName>
    <definedName name="RedFlag_60" localSheetId="11">#REF!</definedName>
    <definedName name="RedFlag_60" localSheetId="4">#REF!</definedName>
    <definedName name="RedFlag_60">#REF!</definedName>
    <definedName name="RedFlag_61" localSheetId="13">#REF!</definedName>
    <definedName name="RedFlag_61" localSheetId="7">#REF!</definedName>
    <definedName name="RedFlag_61" localSheetId="1">#REF!</definedName>
    <definedName name="RedFlag_61" localSheetId="6">#REF!</definedName>
    <definedName name="RedFlag_61" localSheetId="2">#REF!</definedName>
    <definedName name="RedFlag_61" localSheetId="5">#REF!</definedName>
    <definedName name="RedFlag_61" localSheetId="0">#REF!</definedName>
    <definedName name="RedFlag_61" localSheetId="9">#REF!</definedName>
    <definedName name="RedFlag_61" localSheetId="11">#REF!</definedName>
    <definedName name="RedFlag_61" localSheetId="4">#REF!</definedName>
    <definedName name="RedFlag_61">#REF!</definedName>
    <definedName name="RedFlag_62" localSheetId="13">#REF!</definedName>
    <definedName name="RedFlag_62" localSheetId="7">#REF!</definedName>
    <definedName name="RedFlag_62" localSheetId="1">#REF!</definedName>
    <definedName name="RedFlag_62" localSheetId="6">#REF!</definedName>
    <definedName name="RedFlag_62" localSheetId="2">#REF!</definedName>
    <definedName name="RedFlag_62" localSheetId="5">#REF!</definedName>
    <definedName name="RedFlag_62" localSheetId="0">#REF!</definedName>
    <definedName name="RedFlag_62" localSheetId="9">#REF!</definedName>
    <definedName name="RedFlag_62" localSheetId="11">#REF!</definedName>
    <definedName name="RedFlag_62" localSheetId="4">#REF!</definedName>
    <definedName name="RedFlag_62">#REF!</definedName>
    <definedName name="RedFlag_63" localSheetId="13">#REF!</definedName>
    <definedName name="RedFlag_63" localSheetId="7">#REF!</definedName>
    <definedName name="RedFlag_63" localSheetId="1">#REF!</definedName>
    <definedName name="RedFlag_63" localSheetId="6">#REF!</definedName>
    <definedName name="RedFlag_63" localSheetId="2">#REF!</definedName>
    <definedName name="RedFlag_63" localSheetId="5">#REF!</definedName>
    <definedName name="RedFlag_63" localSheetId="0">#REF!</definedName>
    <definedName name="RedFlag_63" localSheetId="9">#REF!</definedName>
    <definedName name="RedFlag_63" localSheetId="11">#REF!</definedName>
    <definedName name="RedFlag_63" localSheetId="4">#REF!</definedName>
    <definedName name="RedFlag_63">#REF!</definedName>
    <definedName name="RedFlag_64" localSheetId="13">#REF!</definedName>
    <definedName name="RedFlag_64" localSheetId="7">#REF!</definedName>
    <definedName name="RedFlag_64" localSheetId="1">#REF!</definedName>
    <definedName name="RedFlag_64" localSheetId="6">#REF!</definedName>
    <definedName name="RedFlag_64" localSheetId="2">#REF!</definedName>
    <definedName name="RedFlag_64" localSheetId="5">#REF!</definedName>
    <definedName name="RedFlag_64" localSheetId="0">#REF!</definedName>
    <definedName name="RedFlag_64" localSheetId="9">#REF!</definedName>
    <definedName name="RedFlag_64" localSheetId="11">#REF!</definedName>
    <definedName name="RedFlag_64" localSheetId="4">#REF!</definedName>
    <definedName name="RedFlag_64">#REF!</definedName>
    <definedName name="RedFlag_65" localSheetId="13">#REF!</definedName>
    <definedName name="RedFlag_65" localSheetId="7">#REF!</definedName>
    <definedName name="RedFlag_65" localSheetId="1">#REF!</definedName>
    <definedName name="RedFlag_65" localSheetId="6">#REF!</definedName>
    <definedName name="RedFlag_65" localSheetId="2">#REF!</definedName>
    <definedName name="RedFlag_65" localSheetId="5">#REF!</definedName>
    <definedName name="RedFlag_65" localSheetId="0">#REF!</definedName>
    <definedName name="RedFlag_65" localSheetId="9">#REF!</definedName>
    <definedName name="RedFlag_65" localSheetId="11">#REF!</definedName>
    <definedName name="RedFlag_65" localSheetId="4">#REF!</definedName>
    <definedName name="RedFlag_65">#REF!</definedName>
    <definedName name="RedFlag_66" localSheetId="13">#REF!</definedName>
    <definedName name="RedFlag_66" localSheetId="7">#REF!</definedName>
    <definedName name="RedFlag_66" localSheetId="1">#REF!</definedName>
    <definedName name="RedFlag_66" localSheetId="6">#REF!</definedName>
    <definedName name="RedFlag_66" localSheetId="2">#REF!</definedName>
    <definedName name="RedFlag_66" localSheetId="5">#REF!</definedName>
    <definedName name="RedFlag_66" localSheetId="0">#REF!</definedName>
    <definedName name="RedFlag_66" localSheetId="9">#REF!</definedName>
    <definedName name="RedFlag_66" localSheetId="11">#REF!</definedName>
    <definedName name="RedFlag_66" localSheetId="4">#REF!</definedName>
    <definedName name="RedFlag_66">#REF!</definedName>
    <definedName name="RedFlag_67" localSheetId="13">#REF!</definedName>
    <definedName name="RedFlag_67" localSheetId="7">#REF!</definedName>
    <definedName name="RedFlag_67" localSheetId="1">#REF!</definedName>
    <definedName name="RedFlag_67" localSheetId="6">#REF!</definedName>
    <definedName name="RedFlag_67" localSheetId="2">#REF!</definedName>
    <definedName name="RedFlag_67" localSheetId="5">#REF!</definedName>
    <definedName name="RedFlag_67" localSheetId="0">#REF!</definedName>
    <definedName name="RedFlag_67" localSheetId="9">#REF!</definedName>
    <definedName name="RedFlag_67" localSheetId="11">#REF!</definedName>
    <definedName name="RedFlag_67" localSheetId="4">#REF!</definedName>
    <definedName name="RedFlag_67">#REF!</definedName>
    <definedName name="RedFlag_68" localSheetId="13">#REF!</definedName>
    <definedName name="RedFlag_68" localSheetId="7">#REF!</definedName>
    <definedName name="RedFlag_68" localSheetId="1">#REF!</definedName>
    <definedName name="RedFlag_68" localSheetId="6">#REF!</definedName>
    <definedName name="RedFlag_68" localSheetId="2">#REF!</definedName>
    <definedName name="RedFlag_68" localSheetId="5">#REF!</definedName>
    <definedName name="RedFlag_68" localSheetId="0">#REF!</definedName>
    <definedName name="RedFlag_68" localSheetId="9">#REF!</definedName>
    <definedName name="RedFlag_68" localSheetId="11">#REF!</definedName>
    <definedName name="RedFlag_68" localSheetId="4">#REF!</definedName>
    <definedName name="RedFlag_68">#REF!</definedName>
    <definedName name="RedFlag_69" localSheetId="13">#REF!</definedName>
    <definedName name="RedFlag_69" localSheetId="7">#REF!</definedName>
    <definedName name="RedFlag_69" localSheetId="1">#REF!</definedName>
    <definedName name="RedFlag_69" localSheetId="6">#REF!</definedName>
    <definedName name="RedFlag_69" localSheetId="2">#REF!</definedName>
    <definedName name="RedFlag_69" localSheetId="5">#REF!</definedName>
    <definedName name="RedFlag_69" localSheetId="0">#REF!</definedName>
    <definedName name="RedFlag_69" localSheetId="9">#REF!</definedName>
    <definedName name="RedFlag_69" localSheetId="11">#REF!</definedName>
    <definedName name="RedFlag_69" localSheetId="4">#REF!</definedName>
    <definedName name="RedFlag_69">#REF!</definedName>
    <definedName name="RedFlag_70" localSheetId="13">#REF!</definedName>
    <definedName name="RedFlag_70" localSheetId="7">#REF!</definedName>
    <definedName name="RedFlag_70" localSheetId="1">#REF!</definedName>
    <definedName name="RedFlag_70" localSheetId="6">#REF!</definedName>
    <definedName name="RedFlag_70" localSheetId="2">#REF!</definedName>
    <definedName name="RedFlag_70" localSheetId="5">#REF!</definedName>
    <definedName name="RedFlag_70" localSheetId="0">#REF!</definedName>
    <definedName name="RedFlag_70" localSheetId="9">#REF!</definedName>
    <definedName name="RedFlag_70" localSheetId="11">#REF!</definedName>
    <definedName name="RedFlag_70" localSheetId="4">#REF!</definedName>
    <definedName name="RedFlag_70">#REF!</definedName>
    <definedName name="RedFlag_71" localSheetId="13">#REF!</definedName>
    <definedName name="RedFlag_71" localSheetId="7">#REF!</definedName>
    <definedName name="RedFlag_71" localSheetId="1">#REF!</definedName>
    <definedName name="RedFlag_71" localSheetId="6">#REF!</definedName>
    <definedName name="RedFlag_71" localSheetId="2">#REF!</definedName>
    <definedName name="RedFlag_71" localSheetId="5">#REF!</definedName>
    <definedName name="RedFlag_71" localSheetId="0">#REF!</definedName>
    <definedName name="RedFlag_71" localSheetId="9">#REF!</definedName>
    <definedName name="RedFlag_71" localSheetId="11">#REF!</definedName>
    <definedName name="RedFlag_71" localSheetId="4">#REF!</definedName>
    <definedName name="RedFlag_71">#REF!</definedName>
    <definedName name="RedFlag_72" localSheetId="13">#REF!</definedName>
    <definedName name="RedFlag_72" localSheetId="7">#REF!</definedName>
    <definedName name="RedFlag_72" localSheetId="1">#REF!</definedName>
    <definedName name="RedFlag_72" localSheetId="6">#REF!</definedName>
    <definedName name="RedFlag_72" localSheetId="2">#REF!</definedName>
    <definedName name="RedFlag_72" localSheetId="5">#REF!</definedName>
    <definedName name="RedFlag_72" localSheetId="0">#REF!</definedName>
    <definedName name="RedFlag_72" localSheetId="9">#REF!</definedName>
    <definedName name="RedFlag_72" localSheetId="11">#REF!</definedName>
    <definedName name="RedFlag_72" localSheetId="4">#REF!</definedName>
    <definedName name="RedFlag_72">#REF!</definedName>
    <definedName name="RedFlag_73" localSheetId="13">#REF!</definedName>
    <definedName name="RedFlag_73" localSheetId="7">#REF!</definedName>
    <definedName name="RedFlag_73" localSheetId="1">#REF!</definedName>
    <definedName name="RedFlag_73" localSheetId="6">#REF!</definedName>
    <definedName name="RedFlag_73" localSheetId="2">#REF!</definedName>
    <definedName name="RedFlag_73" localSheetId="5">#REF!</definedName>
    <definedName name="RedFlag_73" localSheetId="0">#REF!</definedName>
    <definedName name="RedFlag_73" localSheetId="9">#REF!</definedName>
    <definedName name="RedFlag_73" localSheetId="11">#REF!</definedName>
    <definedName name="RedFlag_73" localSheetId="4">#REF!</definedName>
    <definedName name="RedFlag_73">#REF!</definedName>
    <definedName name="RedFlag_74" localSheetId="13">#REF!</definedName>
    <definedName name="RedFlag_74" localSheetId="7">#REF!</definedName>
    <definedName name="RedFlag_74" localSheetId="1">#REF!</definedName>
    <definedName name="RedFlag_74" localSheetId="6">#REF!</definedName>
    <definedName name="RedFlag_74" localSheetId="2">#REF!</definedName>
    <definedName name="RedFlag_74" localSheetId="5">#REF!</definedName>
    <definedName name="RedFlag_74" localSheetId="0">#REF!</definedName>
    <definedName name="RedFlag_74" localSheetId="9">#REF!</definedName>
    <definedName name="RedFlag_74" localSheetId="11">#REF!</definedName>
    <definedName name="RedFlag_74" localSheetId="4">#REF!</definedName>
    <definedName name="RedFlag_74">#REF!</definedName>
    <definedName name="RedFlag_75" localSheetId="13">#REF!</definedName>
    <definedName name="RedFlag_75" localSheetId="7">#REF!</definedName>
    <definedName name="RedFlag_75" localSheetId="1">#REF!</definedName>
    <definedName name="RedFlag_75" localSheetId="6">#REF!</definedName>
    <definedName name="RedFlag_75" localSheetId="2">#REF!</definedName>
    <definedName name="RedFlag_75" localSheetId="5">#REF!</definedName>
    <definedName name="RedFlag_75" localSheetId="0">#REF!</definedName>
    <definedName name="RedFlag_75" localSheetId="9">#REF!</definedName>
    <definedName name="RedFlag_75" localSheetId="11">#REF!</definedName>
    <definedName name="RedFlag_75" localSheetId="4">#REF!</definedName>
    <definedName name="RedFlag_75">#REF!</definedName>
    <definedName name="RedFlag_76" localSheetId="13">#REF!</definedName>
    <definedName name="RedFlag_76" localSheetId="7">#REF!</definedName>
    <definedName name="RedFlag_76" localSheetId="1">#REF!</definedName>
    <definedName name="RedFlag_76" localSheetId="6">#REF!</definedName>
    <definedName name="RedFlag_76" localSheetId="2">#REF!</definedName>
    <definedName name="RedFlag_76" localSheetId="5">#REF!</definedName>
    <definedName name="RedFlag_76" localSheetId="0">#REF!</definedName>
    <definedName name="RedFlag_76" localSheetId="9">#REF!</definedName>
    <definedName name="RedFlag_76" localSheetId="11">#REF!</definedName>
    <definedName name="RedFlag_76" localSheetId="4">#REF!</definedName>
    <definedName name="RedFlag_76">#REF!</definedName>
    <definedName name="RedFlag_77" localSheetId="13">#REF!</definedName>
    <definedName name="RedFlag_77" localSheetId="7">#REF!</definedName>
    <definedName name="RedFlag_77" localSheetId="1">#REF!</definedName>
    <definedName name="RedFlag_77" localSheetId="6">#REF!</definedName>
    <definedName name="RedFlag_77" localSheetId="2">#REF!</definedName>
    <definedName name="RedFlag_77" localSheetId="5">#REF!</definedName>
    <definedName name="RedFlag_77" localSheetId="0">#REF!</definedName>
    <definedName name="RedFlag_77" localSheetId="9">#REF!</definedName>
    <definedName name="RedFlag_77" localSheetId="11">#REF!</definedName>
    <definedName name="RedFlag_77" localSheetId="4">#REF!</definedName>
    <definedName name="RedFlag_77">#REF!</definedName>
    <definedName name="RedFlag_78" localSheetId="13">#REF!</definedName>
    <definedName name="RedFlag_78" localSheetId="7">#REF!</definedName>
    <definedName name="RedFlag_78" localSheetId="1">#REF!</definedName>
    <definedName name="RedFlag_78" localSheetId="6">#REF!</definedName>
    <definedName name="RedFlag_78" localSheetId="2">#REF!</definedName>
    <definedName name="RedFlag_78" localSheetId="5">#REF!</definedName>
    <definedName name="RedFlag_78" localSheetId="0">#REF!</definedName>
    <definedName name="RedFlag_78" localSheetId="9">#REF!</definedName>
    <definedName name="RedFlag_78" localSheetId="11">#REF!</definedName>
    <definedName name="RedFlag_78" localSheetId="4">#REF!</definedName>
    <definedName name="RedFlag_78">#REF!</definedName>
    <definedName name="RedFlag_79" localSheetId="13">#REF!</definedName>
    <definedName name="RedFlag_79" localSheetId="7">#REF!</definedName>
    <definedName name="RedFlag_79" localSheetId="1">#REF!</definedName>
    <definedName name="RedFlag_79" localSheetId="6">#REF!</definedName>
    <definedName name="RedFlag_79" localSheetId="2">#REF!</definedName>
    <definedName name="RedFlag_79" localSheetId="5">#REF!</definedName>
    <definedName name="RedFlag_79" localSheetId="0">#REF!</definedName>
    <definedName name="RedFlag_79" localSheetId="9">#REF!</definedName>
    <definedName name="RedFlag_79" localSheetId="11">#REF!</definedName>
    <definedName name="RedFlag_79" localSheetId="4">#REF!</definedName>
    <definedName name="RedFlag_79">#REF!</definedName>
    <definedName name="RedFlag_80" localSheetId="13">#REF!</definedName>
    <definedName name="RedFlag_80" localSheetId="7">#REF!</definedName>
    <definedName name="RedFlag_80" localSheetId="1">#REF!</definedName>
    <definedName name="RedFlag_80" localSheetId="6">#REF!</definedName>
    <definedName name="RedFlag_80" localSheetId="2">#REF!</definedName>
    <definedName name="RedFlag_80" localSheetId="5">#REF!</definedName>
    <definedName name="RedFlag_80" localSheetId="0">#REF!</definedName>
    <definedName name="RedFlag_80" localSheetId="9">#REF!</definedName>
    <definedName name="RedFlag_80" localSheetId="11">#REF!</definedName>
    <definedName name="RedFlag_80" localSheetId="4">#REF!</definedName>
    <definedName name="RedFlag_80">#REF!</definedName>
    <definedName name="RedFlag_81" localSheetId="13">#REF!</definedName>
    <definedName name="RedFlag_81" localSheetId="7">#REF!</definedName>
    <definedName name="RedFlag_81" localSheetId="1">#REF!</definedName>
    <definedName name="RedFlag_81" localSheetId="6">#REF!</definedName>
    <definedName name="RedFlag_81" localSheetId="2">#REF!</definedName>
    <definedName name="RedFlag_81" localSheetId="5">#REF!</definedName>
    <definedName name="RedFlag_81" localSheetId="0">#REF!</definedName>
    <definedName name="RedFlag_81" localSheetId="9">#REF!</definedName>
    <definedName name="RedFlag_81" localSheetId="11">#REF!</definedName>
    <definedName name="RedFlag_81" localSheetId="4">#REF!</definedName>
    <definedName name="RedFlag_81">#REF!</definedName>
    <definedName name="RedFlag_82" localSheetId="13">#REF!</definedName>
    <definedName name="RedFlag_82" localSheetId="7">#REF!</definedName>
    <definedName name="RedFlag_82" localSheetId="1">#REF!</definedName>
    <definedName name="RedFlag_82" localSheetId="6">#REF!</definedName>
    <definedName name="RedFlag_82" localSheetId="2">#REF!</definedName>
    <definedName name="RedFlag_82" localSheetId="5">#REF!</definedName>
    <definedName name="RedFlag_82" localSheetId="0">#REF!</definedName>
    <definedName name="RedFlag_82" localSheetId="9">#REF!</definedName>
    <definedName name="RedFlag_82" localSheetId="11">#REF!</definedName>
    <definedName name="RedFlag_82" localSheetId="4">#REF!</definedName>
    <definedName name="RedFlag_82">#REF!</definedName>
    <definedName name="RedFlag_83" localSheetId="13">#REF!</definedName>
    <definedName name="RedFlag_83" localSheetId="7">#REF!</definedName>
    <definedName name="RedFlag_83" localSheetId="1">#REF!</definedName>
    <definedName name="RedFlag_83" localSheetId="6">#REF!</definedName>
    <definedName name="RedFlag_83" localSheetId="2">#REF!</definedName>
    <definedName name="RedFlag_83" localSheetId="5">#REF!</definedName>
    <definedName name="RedFlag_83" localSheetId="0">#REF!</definedName>
    <definedName name="RedFlag_83" localSheetId="9">#REF!</definedName>
    <definedName name="RedFlag_83" localSheetId="11">#REF!</definedName>
    <definedName name="RedFlag_83" localSheetId="4">#REF!</definedName>
    <definedName name="RedFlag_83">#REF!</definedName>
    <definedName name="RedFlag_84" localSheetId="13">#REF!</definedName>
    <definedName name="RedFlag_84" localSheetId="7">#REF!</definedName>
    <definedName name="RedFlag_84" localSheetId="1">#REF!</definedName>
    <definedName name="RedFlag_84" localSheetId="6">#REF!</definedName>
    <definedName name="RedFlag_84" localSheetId="2">#REF!</definedName>
    <definedName name="RedFlag_84" localSheetId="5">#REF!</definedName>
    <definedName name="RedFlag_84" localSheetId="0">#REF!</definedName>
    <definedName name="RedFlag_84" localSheetId="9">#REF!</definedName>
    <definedName name="RedFlag_84" localSheetId="11">#REF!</definedName>
    <definedName name="RedFlag_84" localSheetId="4">#REF!</definedName>
    <definedName name="RedFlag_84">#REF!</definedName>
    <definedName name="RedFlag_85" localSheetId="13">#REF!</definedName>
    <definedName name="RedFlag_85" localSheetId="7">#REF!</definedName>
    <definedName name="RedFlag_85" localSheetId="1">#REF!</definedName>
    <definedName name="RedFlag_85" localSheetId="6">#REF!</definedName>
    <definedName name="RedFlag_85" localSheetId="2">#REF!</definedName>
    <definedName name="RedFlag_85" localSheetId="5">#REF!</definedName>
    <definedName name="RedFlag_85" localSheetId="0">#REF!</definedName>
    <definedName name="RedFlag_85" localSheetId="9">#REF!</definedName>
    <definedName name="RedFlag_85" localSheetId="11">#REF!</definedName>
    <definedName name="RedFlag_85" localSheetId="4">#REF!</definedName>
    <definedName name="RedFlag_85">#REF!</definedName>
    <definedName name="RedFlag_86" localSheetId="13">#REF!</definedName>
    <definedName name="RedFlag_86" localSheetId="7">#REF!</definedName>
    <definedName name="RedFlag_86" localSheetId="1">#REF!</definedName>
    <definedName name="RedFlag_86" localSheetId="6">#REF!</definedName>
    <definedName name="RedFlag_86" localSheetId="2">#REF!</definedName>
    <definedName name="RedFlag_86" localSheetId="5">#REF!</definedName>
    <definedName name="RedFlag_86" localSheetId="0">#REF!</definedName>
    <definedName name="RedFlag_86" localSheetId="9">#REF!</definedName>
    <definedName name="RedFlag_86" localSheetId="11">#REF!</definedName>
    <definedName name="RedFlag_86" localSheetId="4">#REF!</definedName>
    <definedName name="RedFlag_86">#REF!</definedName>
    <definedName name="RedFlag_87" localSheetId="13">#REF!</definedName>
    <definedName name="RedFlag_87" localSheetId="7">#REF!</definedName>
    <definedName name="RedFlag_87" localSheetId="1">#REF!</definedName>
    <definedName name="RedFlag_87" localSheetId="6">#REF!</definedName>
    <definedName name="RedFlag_87" localSheetId="2">#REF!</definedName>
    <definedName name="RedFlag_87" localSheetId="5">#REF!</definedName>
    <definedName name="RedFlag_87" localSheetId="0">#REF!</definedName>
    <definedName name="RedFlag_87" localSheetId="9">#REF!</definedName>
    <definedName name="RedFlag_87" localSheetId="11">#REF!</definedName>
    <definedName name="RedFlag_87" localSheetId="4">#REF!</definedName>
    <definedName name="RedFlag_87">#REF!</definedName>
    <definedName name="RedFlag_88" localSheetId="13">#REF!</definedName>
    <definedName name="RedFlag_88" localSheetId="7">#REF!</definedName>
    <definedName name="RedFlag_88" localSheetId="1">#REF!</definedName>
    <definedName name="RedFlag_88" localSheetId="6">#REF!</definedName>
    <definedName name="RedFlag_88" localSheetId="2">#REF!</definedName>
    <definedName name="RedFlag_88" localSheetId="5">#REF!</definedName>
    <definedName name="RedFlag_88" localSheetId="0">#REF!</definedName>
    <definedName name="RedFlag_88" localSheetId="9">#REF!</definedName>
    <definedName name="RedFlag_88" localSheetId="11">#REF!</definedName>
    <definedName name="RedFlag_88" localSheetId="4">#REF!</definedName>
    <definedName name="RedFlag_88">#REF!</definedName>
    <definedName name="RedFlag_89" localSheetId="13">#REF!</definedName>
    <definedName name="RedFlag_89" localSheetId="7">#REF!</definedName>
    <definedName name="RedFlag_89" localSheetId="1">#REF!</definedName>
    <definedName name="RedFlag_89" localSheetId="6">#REF!</definedName>
    <definedName name="RedFlag_89" localSheetId="2">#REF!</definedName>
    <definedName name="RedFlag_89" localSheetId="5">#REF!</definedName>
    <definedName name="RedFlag_89" localSheetId="0">#REF!</definedName>
    <definedName name="RedFlag_89" localSheetId="9">#REF!</definedName>
    <definedName name="RedFlag_89" localSheetId="11">#REF!</definedName>
    <definedName name="RedFlag_89" localSheetId="4">#REF!</definedName>
    <definedName name="RedFlag_89">#REF!</definedName>
    <definedName name="RedFlag_90" localSheetId="13">#REF!</definedName>
    <definedName name="RedFlag_90" localSheetId="7">#REF!</definedName>
    <definedName name="RedFlag_90" localSheetId="1">#REF!</definedName>
    <definedName name="RedFlag_90" localSheetId="6">#REF!</definedName>
    <definedName name="RedFlag_90" localSheetId="2">#REF!</definedName>
    <definedName name="RedFlag_90" localSheetId="5">#REF!</definedName>
    <definedName name="RedFlag_90" localSheetId="0">#REF!</definedName>
    <definedName name="RedFlag_90" localSheetId="9">#REF!</definedName>
    <definedName name="RedFlag_90" localSheetId="11">#REF!</definedName>
    <definedName name="RedFlag_90" localSheetId="4">#REF!</definedName>
    <definedName name="RedFlag_90">#REF!</definedName>
    <definedName name="RedFlag_91" localSheetId="13">#REF!</definedName>
    <definedName name="RedFlag_91" localSheetId="7">#REF!</definedName>
    <definedName name="RedFlag_91" localSheetId="1">#REF!</definedName>
    <definedName name="RedFlag_91" localSheetId="6">#REF!</definedName>
    <definedName name="RedFlag_91" localSheetId="2">#REF!</definedName>
    <definedName name="RedFlag_91" localSheetId="5">#REF!</definedName>
    <definedName name="RedFlag_91" localSheetId="0">#REF!</definedName>
    <definedName name="RedFlag_91" localSheetId="9">#REF!</definedName>
    <definedName name="RedFlag_91" localSheetId="11">#REF!</definedName>
    <definedName name="RedFlag_91" localSheetId="4">#REF!</definedName>
    <definedName name="RedFlag_91">#REF!</definedName>
    <definedName name="RedFlag_92" localSheetId="13">#REF!</definedName>
    <definedName name="RedFlag_92" localSheetId="7">#REF!</definedName>
    <definedName name="RedFlag_92" localSheetId="1">#REF!</definedName>
    <definedName name="RedFlag_92" localSheetId="6">#REF!</definedName>
    <definedName name="RedFlag_92" localSheetId="2">#REF!</definedName>
    <definedName name="RedFlag_92" localSheetId="5">#REF!</definedName>
    <definedName name="RedFlag_92" localSheetId="0">#REF!</definedName>
    <definedName name="RedFlag_92" localSheetId="9">#REF!</definedName>
    <definedName name="RedFlag_92" localSheetId="11">#REF!</definedName>
    <definedName name="RedFlag_92" localSheetId="4">#REF!</definedName>
    <definedName name="RedFlag_92">#REF!</definedName>
    <definedName name="RedFlag_93" localSheetId="13">#REF!</definedName>
    <definedName name="RedFlag_93" localSheetId="7">#REF!</definedName>
    <definedName name="RedFlag_93" localSheetId="1">#REF!</definedName>
    <definedName name="RedFlag_93" localSheetId="6">#REF!</definedName>
    <definedName name="RedFlag_93" localSheetId="2">#REF!</definedName>
    <definedName name="RedFlag_93" localSheetId="5">#REF!</definedName>
    <definedName name="RedFlag_93" localSheetId="0">#REF!</definedName>
    <definedName name="RedFlag_93" localSheetId="9">#REF!</definedName>
    <definedName name="RedFlag_93" localSheetId="11">#REF!</definedName>
    <definedName name="RedFlag_93" localSheetId="4">#REF!</definedName>
    <definedName name="RedFlag_93">#REF!</definedName>
    <definedName name="RedFlag_94" localSheetId="13">#REF!</definedName>
    <definedName name="RedFlag_94" localSheetId="7">#REF!</definedName>
    <definedName name="RedFlag_94" localSheetId="1">#REF!</definedName>
    <definedName name="RedFlag_94" localSheetId="6">#REF!</definedName>
    <definedName name="RedFlag_94" localSheetId="2">#REF!</definedName>
    <definedName name="RedFlag_94" localSheetId="5">#REF!</definedName>
    <definedName name="RedFlag_94" localSheetId="0">#REF!</definedName>
    <definedName name="RedFlag_94" localSheetId="9">#REF!</definedName>
    <definedName name="RedFlag_94" localSheetId="11">#REF!</definedName>
    <definedName name="RedFlag_94" localSheetId="4">#REF!</definedName>
    <definedName name="RedFlag_94">#REF!</definedName>
    <definedName name="sda" localSheetId="10" hidden="1">{"'Lennar U.S. Partners'!$A$1:$N$53"}</definedName>
    <definedName name="sda" localSheetId="1" hidden="1">{"'Lennar U.S. Partners'!$A$1:$N$53"}</definedName>
    <definedName name="sda" localSheetId="6" hidden="1">{"'Lennar U.S. Partners'!$A$1:$N$53"}</definedName>
    <definedName name="sda" localSheetId="3" hidden="1">{"'Lennar U.S. Partners'!$A$1:$N$53"}</definedName>
    <definedName name="sda" localSheetId="2" hidden="1">{"'Lennar U.S. Partners'!$A$1:$N$53"}</definedName>
    <definedName name="sda" localSheetId="5" hidden="1">{"'Lennar U.S. Partners'!$A$1:$N$53"}</definedName>
    <definedName name="sda" localSheetId="0" hidden="1">{"'Lennar U.S. Partners'!$A$1:$N$53"}</definedName>
    <definedName name="sda" localSheetId="9">#REF!</definedName>
    <definedName name="sda" localSheetId="14">#REF!</definedName>
    <definedName name="sda" localSheetId="4" hidden="1">{"'Lennar U.S. Partners'!$A$1:$N$53"}</definedName>
    <definedName name="sda" hidden="1">{"'Lennar U.S. Partners'!$A$1:$N$53"}</definedName>
    <definedName name="specMTM" localSheetId="13">#REF!</definedName>
    <definedName name="specMTM" localSheetId="7">#REF!</definedName>
    <definedName name="specMTM" localSheetId="1">#REF!</definedName>
    <definedName name="specMTM" localSheetId="6">#REF!</definedName>
    <definedName name="specMTM" localSheetId="2">#REF!</definedName>
    <definedName name="specMTM" localSheetId="5">#REF!</definedName>
    <definedName name="specMTM" localSheetId="0">#REF!</definedName>
    <definedName name="specMTM" localSheetId="9">#REF!</definedName>
    <definedName name="specMTM" localSheetId="11">#REF!</definedName>
    <definedName name="specMTM" localSheetId="4">#REF!</definedName>
    <definedName name="specMTM">#REF!</definedName>
    <definedName name="Spot">[10]Portfolio!$F$15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13">#REF!</definedName>
    <definedName name="TEHMTM" localSheetId="7">#REF!</definedName>
    <definedName name="TEHMTM" localSheetId="1">#REF!</definedName>
    <definedName name="TEHMTM" localSheetId="6">#REF!</definedName>
    <definedName name="TEHMTM" localSheetId="2">#REF!</definedName>
    <definedName name="TEHMTM" localSheetId="5">#REF!</definedName>
    <definedName name="TEHMTM" localSheetId="0">#REF!</definedName>
    <definedName name="TEHMTM" localSheetId="9">#REF!</definedName>
    <definedName name="TEHMTM" localSheetId="11">#REF!</definedName>
    <definedName name="TEHMTM" localSheetId="4">#REF!</definedName>
    <definedName name="TEHMTM">#REF!</definedName>
    <definedName name="template" localSheetId="10" hidden="1">{"'Lennar U.S. Partners'!$A$1:$N$53"}</definedName>
    <definedName name="template" localSheetId="1" hidden="1">{"'Lennar U.S. Partners'!$A$1:$N$53"}</definedName>
    <definedName name="template" localSheetId="6" hidden="1">{"'Lennar U.S. Partners'!$A$1:$N$53"}</definedName>
    <definedName name="template" localSheetId="3" hidden="1">{"'Lennar U.S. Partners'!$A$1:$N$53"}</definedName>
    <definedName name="template" localSheetId="2" hidden="1">{"'Lennar U.S. Partners'!$A$1:$N$53"}</definedName>
    <definedName name="template" localSheetId="5" hidden="1">{"'Lennar U.S. Partners'!$A$1:$N$53"}</definedName>
    <definedName name="template" localSheetId="0" hidden="1">{"'Lennar U.S. Partners'!$A$1:$N$53"}</definedName>
    <definedName name="template" localSheetId="9" hidden="1">{"'Lennar U.S. Partners'!$A$1:$N$53"}</definedName>
    <definedName name="template" localSheetId="14" hidden="1">{"'Lennar U.S. Partners'!$A$1:$N$53"}</definedName>
    <definedName name="template" localSheetId="4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10" hidden="1">{#N/A,#N/A,FALSE,"Fund-II"}</definedName>
    <definedName name="test11" localSheetId="1" hidden="1">{#N/A,#N/A,FALSE,"Fund-II"}</definedName>
    <definedName name="test11" localSheetId="6" hidden="1">{#N/A,#N/A,FALSE,"Fund-II"}</definedName>
    <definedName name="test11" localSheetId="3" hidden="1">{#N/A,#N/A,FALSE,"Fund-II"}</definedName>
    <definedName name="test11" localSheetId="2" hidden="1">{#N/A,#N/A,FALSE,"Fund-II"}</definedName>
    <definedName name="test11" localSheetId="5" hidden="1">{#N/A,#N/A,FALSE,"Fund-II"}</definedName>
    <definedName name="test11" localSheetId="0" hidden="1">{#N/A,#N/A,FALSE,"Fund-II"}</definedName>
    <definedName name="test11" localSheetId="9" hidden="1">{#N/A,#N/A,FALSE,"Fund-II"}</definedName>
    <definedName name="test11" localSheetId="14" hidden="1">{#N/A,#N/A,FALSE,"Fund-II"}</definedName>
    <definedName name="test11" localSheetId="4" hidden="1">{#N/A,#N/A,FALSE,"Fund-II"}</definedName>
    <definedName name="test11" hidden="1">{#N/A,#N/A,FALSE,"Fund-II"}</definedName>
    <definedName name="Title">'[11]Fund IV Summary'!$C$1</definedName>
    <definedName name="tonitza" localSheetId="13">#REF!</definedName>
    <definedName name="tonitza" localSheetId="7">#REF!</definedName>
    <definedName name="tonitza" localSheetId="1">#REF!</definedName>
    <definedName name="tonitza" localSheetId="6">#REF!</definedName>
    <definedName name="tonitza" localSheetId="2">#REF!</definedName>
    <definedName name="tonitza" localSheetId="5">#REF!</definedName>
    <definedName name="tonitza" localSheetId="0">#REF!</definedName>
    <definedName name="tonitza" localSheetId="14">#REF!</definedName>
    <definedName name="tonitza" localSheetId="11">#REF!</definedName>
    <definedName name="tonitza" localSheetId="4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13">#REF!</definedName>
    <definedName name="Total_Cost" localSheetId="7">#REF!</definedName>
    <definedName name="Total_Cost" localSheetId="1">#REF!</definedName>
    <definedName name="Total_Cost" localSheetId="6">#REF!</definedName>
    <definedName name="Total_Cost" localSheetId="2">#REF!</definedName>
    <definedName name="Total_Cost" localSheetId="5">#REF!</definedName>
    <definedName name="Total_Cost" localSheetId="0">#REF!</definedName>
    <definedName name="Total_Cost" localSheetId="9">#REF!</definedName>
    <definedName name="Total_Cost" localSheetId="11">#REF!</definedName>
    <definedName name="Total_Cost" localSheetId="4">#REF!</definedName>
    <definedName name="Total_Cost">#REF!</definedName>
    <definedName name="Total_Population" localSheetId="13">'[1]Module 6_Condensed Budget'!#REF!</definedName>
    <definedName name="Total_Population" localSheetId="7">'[1]Module 6_Condensed Budget'!#REF!</definedName>
    <definedName name="Total_Population" localSheetId="1">'[1]Module 6_Condensed Budget'!#REF!</definedName>
    <definedName name="Total_Population" localSheetId="6">'[1]Module 6_Condensed Budget'!#REF!</definedName>
    <definedName name="Total_Population" localSheetId="2">'[1]Module 6_Condensed Budget'!#REF!</definedName>
    <definedName name="Total_Population" localSheetId="5">'[1]Module 6_Condensed Budget'!#REF!</definedName>
    <definedName name="Total_Population" localSheetId="0">'[1]Module 6_Condensed Budget'!#REF!</definedName>
    <definedName name="Total_Population" localSheetId="9">'[2]Module 6_Condensed Budget'!#REF!</definedName>
    <definedName name="Total_Population" localSheetId="14">'[2]Module 6_Condensed Budget'!#REF!</definedName>
    <definedName name="Total_Population" localSheetId="11">'[1]Module 6_Condensed Budget'!#REF!</definedName>
    <definedName name="Total_Population" localSheetId="4">'[1]Module 6_Condensed Budget'!#REF!</definedName>
    <definedName name="Total_Population">'[1]Module 6_Condensed Budget'!#REF!</definedName>
    <definedName name="Total_Print">'[12]ROLLUP _ Fund II'!$C$1:$L$17</definedName>
    <definedName name="Transp_CF" localSheetId="13">#REF!</definedName>
    <definedName name="Transp_CF" localSheetId="7">#REF!</definedName>
    <definedName name="Transp_CF" localSheetId="1">#REF!</definedName>
    <definedName name="Transp_CF" localSheetId="6">#REF!</definedName>
    <definedName name="Transp_CF" localSheetId="2">#REF!</definedName>
    <definedName name="Transp_CF" localSheetId="5">#REF!</definedName>
    <definedName name="Transp_CF" localSheetId="0">#REF!</definedName>
    <definedName name="Transp_CF" localSheetId="14">#REF!</definedName>
    <definedName name="Transp_CF" localSheetId="11">#REF!</definedName>
    <definedName name="Transp_CF" localSheetId="4">#REF!</definedName>
    <definedName name="Transp_CF">#REF!</definedName>
    <definedName name="wrn.892A._.II." localSheetId="10" hidden="1">{#N/A,#N/A,FALSE,"Fund-II"}</definedName>
    <definedName name="wrn.892A._.II." localSheetId="1" hidden="1">{#N/A,#N/A,FALSE,"Fund-II"}</definedName>
    <definedName name="wrn.892A._.II." localSheetId="6" hidden="1">{#N/A,#N/A,FALSE,"Fund-II"}</definedName>
    <definedName name="wrn.892A._.II." localSheetId="3" hidden="1">{#N/A,#N/A,FALSE,"Fund-II"}</definedName>
    <definedName name="wrn.892A._.II." localSheetId="2" hidden="1">{#N/A,#N/A,FALSE,"Fund-II"}</definedName>
    <definedName name="wrn.892A._.II." localSheetId="5" hidden="1">{#N/A,#N/A,FALSE,"Fund-II"}</definedName>
    <definedName name="wrn.892A._.II." localSheetId="0" hidden="1">{#N/A,#N/A,FALSE,"Fund-II"}</definedName>
    <definedName name="wrn.892A._.II." localSheetId="9" hidden="1">{#N/A,#N/A,FALSE,"Fund-II"}</definedName>
    <definedName name="wrn.892A._.II." localSheetId="14" hidden="1">{#N/A,#N/A,FALSE,"Fund-II"}</definedName>
    <definedName name="wrn.892A._.II." localSheetId="4" hidden="1">{#N/A,#N/A,FALSE,"Fund-II"}</definedName>
    <definedName name="wrn.892A._.II." hidden="1">{#N/A,#N/A,FALSE,"Fund-II"}</definedName>
    <definedName name="wrn.892B._.II." localSheetId="10" hidden="1">{#N/A,#N/A,FALSE,"Fund-II"}</definedName>
    <definedName name="wrn.892B._.II." localSheetId="1" hidden="1">{#N/A,#N/A,FALSE,"Fund-II"}</definedName>
    <definedName name="wrn.892B._.II." localSheetId="6" hidden="1">{#N/A,#N/A,FALSE,"Fund-II"}</definedName>
    <definedName name="wrn.892B._.II." localSheetId="3" hidden="1">{#N/A,#N/A,FALSE,"Fund-II"}</definedName>
    <definedName name="wrn.892B._.II." localSheetId="2" hidden="1">{#N/A,#N/A,FALSE,"Fund-II"}</definedName>
    <definedName name="wrn.892B._.II." localSheetId="5" hidden="1">{#N/A,#N/A,FALSE,"Fund-II"}</definedName>
    <definedName name="wrn.892B._.II." localSheetId="0" hidden="1">{#N/A,#N/A,FALSE,"Fund-II"}</definedName>
    <definedName name="wrn.892B._.II." localSheetId="9" hidden="1">{#N/A,#N/A,FALSE,"Fund-II"}</definedName>
    <definedName name="wrn.892B._.II." localSheetId="14" hidden="1">{#N/A,#N/A,FALSE,"Fund-II"}</definedName>
    <definedName name="wrn.892B._.II." localSheetId="4" hidden="1">{#N/A,#N/A,FALSE,"Fund-II"}</definedName>
    <definedName name="wrn.892B._.II." hidden="1">{#N/A,#N/A,FALSE,"Fund-II"}</definedName>
    <definedName name="wrn.892C._.II." localSheetId="10" hidden="1">{#N/A,#N/A,FALSE,"Fund-II"}</definedName>
    <definedName name="wrn.892C._.II." localSheetId="1" hidden="1">{#N/A,#N/A,FALSE,"Fund-II"}</definedName>
    <definedName name="wrn.892C._.II." localSheetId="6" hidden="1">{#N/A,#N/A,FALSE,"Fund-II"}</definedName>
    <definedName name="wrn.892C._.II." localSheetId="3" hidden="1">{#N/A,#N/A,FALSE,"Fund-II"}</definedName>
    <definedName name="wrn.892C._.II." localSheetId="2" hidden="1">{#N/A,#N/A,FALSE,"Fund-II"}</definedName>
    <definedName name="wrn.892C._.II." localSheetId="5" hidden="1">{#N/A,#N/A,FALSE,"Fund-II"}</definedName>
    <definedName name="wrn.892C._.II." localSheetId="0" hidden="1">{#N/A,#N/A,FALSE,"Fund-II"}</definedName>
    <definedName name="wrn.892C._.II." localSheetId="9" hidden="1">{#N/A,#N/A,FALSE,"Fund-II"}</definedName>
    <definedName name="wrn.892C._.II." localSheetId="14" hidden="1">{#N/A,#N/A,FALSE,"Fund-II"}</definedName>
    <definedName name="wrn.892C._.II." localSheetId="4" hidden="1">{#N/A,#N/A,FALSE,"Fund-II"}</definedName>
    <definedName name="wrn.892C._.II." hidden="1">{#N/A,#N/A,FALSE,"Fund-II"}</definedName>
    <definedName name="wrn.coII._.I." localSheetId="10" hidden="1">{#N/A,#N/A,FALSE,"Fund-I"}</definedName>
    <definedName name="wrn.coII._.I." localSheetId="1" hidden="1">{#N/A,#N/A,FALSE,"Fund-I"}</definedName>
    <definedName name="wrn.coII._.I." localSheetId="6" hidden="1">{#N/A,#N/A,FALSE,"Fund-I"}</definedName>
    <definedName name="wrn.coII._.I." localSheetId="3" hidden="1">{#N/A,#N/A,FALSE,"Fund-I"}</definedName>
    <definedName name="wrn.coII._.I." localSheetId="2" hidden="1">{#N/A,#N/A,FALSE,"Fund-I"}</definedName>
    <definedName name="wrn.coII._.I." localSheetId="5" hidden="1">{#N/A,#N/A,FALSE,"Fund-I"}</definedName>
    <definedName name="wrn.coII._.I." localSheetId="0" hidden="1">{#N/A,#N/A,FALSE,"Fund-I"}</definedName>
    <definedName name="wrn.coII._.I." localSheetId="9" hidden="1">{#N/A,#N/A,FALSE,"Fund-I"}</definedName>
    <definedName name="wrn.coII._.I." localSheetId="14" hidden="1">{#N/A,#N/A,FALSE,"Fund-I"}</definedName>
    <definedName name="wrn.coII._.I." localSheetId="4" hidden="1">{#N/A,#N/A,FALSE,"Fund-I"}</definedName>
    <definedName name="wrn.coII._.I." hidden="1">{#N/A,#N/A,FALSE,"Fund-I"}</definedName>
    <definedName name="wrn.CoIV._.II." localSheetId="10" hidden="1">{#N/A,#N/A,FALSE,"Fund-II"}</definedName>
    <definedName name="wrn.CoIV._.II." localSheetId="1" hidden="1">{#N/A,#N/A,FALSE,"Fund-II"}</definedName>
    <definedName name="wrn.CoIV._.II." localSheetId="6" hidden="1">{#N/A,#N/A,FALSE,"Fund-II"}</definedName>
    <definedName name="wrn.CoIV._.II." localSheetId="3" hidden="1">{#N/A,#N/A,FALSE,"Fund-II"}</definedName>
    <definedName name="wrn.CoIV._.II." localSheetId="2" hidden="1">{#N/A,#N/A,FALSE,"Fund-II"}</definedName>
    <definedName name="wrn.CoIV._.II." localSheetId="5" hidden="1">{#N/A,#N/A,FALSE,"Fund-II"}</definedName>
    <definedName name="wrn.CoIV._.II." localSheetId="0" hidden="1">{#N/A,#N/A,FALSE,"Fund-II"}</definedName>
    <definedName name="wrn.CoIV._.II." localSheetId="9" hidden="1">{#N/A,#N/A,FALSE,"Fund-II"}</definedName>
    <definedName name="wrn.CoIV._.II." localSheetId="14" hidden="1">{#N/A,#N/A,FALSE,"Fund-II"}</definedName>
    <definedName name="wrn.CoIV._.II." localSheetId="4" hidden="1">{#N/A,#N/A,FALSE,"Fund-II"}</definedName>
    <definedName name="wrn.CoIV._.II." hidden="1">{#N/A,#N/A,FALSE,"Fund-II"}</definedName>
    <definedName name="wrn.Investors._.II." localSheetId="10" hidden="1">{#N/A,#N/A,FALSE,"Fund-II"}</definedName>
    <definedName name="wrn.Investors._.II." localSheetId="1" hidden="1">{#N/A,#N/A,FALSE,"Fund-II"}</definedName>
    <definedName name="wrn.Investors._.II." localSheetId="6" hidden="1">{#N/A,#N/A,FALSE,"Fund-II"}</definedName>
    <definedName name="wrn.Investors._.II." localSheetId="3" hidden="1">{#N/A,#N/A,FALSE,"Fund-II"}</definedName>
    <definedName name="wrn.Investors._.II." localSheetId="2" hidden="1">{#N/A,#N/A,FALSE,"Fund-II"}</definedName>
    <definedName name="wrn.Investors._.II." localSheetId="5" hidden="1">{#N/A,#N/A,FALSE,"Fund-II"}</definedName>
    <definedName name="wrn.Investors._.II." localSheetId="0" hidden="1">{#N/A,#N/A,FALSE,"Fund-II"}</definedName>
    <definedName name="wrn.Investors._.II." localSheetId="9" hidden="1">{#N/A,#N/A,FALSE,"Fund-II"}</definedName>
    <definedName name="wrn.Investors._.II." localSheetId="14" hidden="1">{#N/A,#N/A,FALSE,"Fund-II"}</definedName>
    <definedName name="wrn.Investors._.II." localSheetId="4" hidden="1">{#N/A,#N/A,FALSE,"Fund-II"}</definedName>
    <definedName name="wrn.Investors._.II." hidden="1">{#N/A,#N/A,FALSE,"Fund-II"}</definedName>
    <definedName name="wrn.Kuwait._.1." localSheetId="10" hidden="1">{#N/A,#N/A,FALSE,"Fund-I"}</definedName>
    <definedName name="wrn.Kuwait._.1." localSheetId="1" hidden="1">{#N/A,#N/A,FALSE,"Fund-I"}</definedName>
    <definedName name="wrn.Kuwait._.1." localSheetId="6" hidden="1">{#N/A,#N/A,FALSE,"Fund-I"}</definedName>
    <definedName name="wrn.Kuwait._.1." localSheetId="3" hidden="1">{#N/A,#N/A,FALSE,"Fund-I"}</definedName>
    <definedName name="wrn.Kuwait._.1." localSheetId="2" hidden="1">{#N/A,#N/A,FALSE,"Fund-I"}</definedName>
    <definedName name="wrn.Kuwait._.1." localSheetId="5" hidden="1">{#N/A,#N/A,FALSE,"Fund-I"}</definedName>
    <definedName name="wrn.Kuwait._.1." localSheetId="0" hidden="1">{#N/A,#N/A,FALSE,"Fund-I"}</definedName>
    <definedName name="wrn.Kuwait._.1." localSheetId="9" hidden="1">{#N/A,#N/A,FALSE,"Fund-I"}</definedName>
    <definedName name="wrn.Kuwait._.1." localSheetId="14" hidden="1">{#N/A,#N/A,FALSE,"Fund-I"}</definedName>
    <definedName name="wrn.Kuwait._.1." localSheetId="4" hidden="1">{#N/A,#N/A,FALSE,"Fund-I"}</definedName>
    <definedName name="wrn.Kuwait._.1." hidden="1">{#N/A,#N/A,FALSE,"Fund-I"}</definedName>
    <definedName name="x" localSheetId="13">#REF!</definedName>
    <definedName name="x" localSheetId="7">#REF!</definedName>
    <definedName name="x" localSheetId="1">#REF!</definedName>
    <definedName name="x" localSheetId="6">#REF!</definedName>
    <definedName name="x" localSheetId="2">#REF!</definedName>
    <definedName name="x" localSheetId="5">#REF!</definedName>
    <definedName name="x" localSheetId="0">#REF!</definedName>
    <definedName name="x" localSheetId="14">#REF!</definedName>
    <definedName name="x" localSheetId="11">#REF!</definedName>
    <definedName name="x" localSheetId="4">#REF!</definedName>
    <definedName name="x">#REF!</definedName>
    <definedName name="xx" localSheetId="13">#REF!</definedName>
    <definedName name="xx" localSheetId="7">#REF!</definedName>
    <definedName name="xx" localSheetId="1">#REF!</definedName>
    <definedName name="xx" localSheetId="6">#REF!</definedName>
    <definedName name="xx" localSheetId="2">#REF!</definedName>
    <definedName name="xx" localSheetId="5">#REF!</definedName>
    <definedName name="xx" localSheetId="0">#REF!</definedName>
    <definedName name="xx" localSheetId="11">#REF!</definedName>
    <definedName name="xx" localSheetId="4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2" l="1"/>
  <c r="H49" i="2"/>
  <c r="I49" i="2"/>
  <c r="J49" i="2"/>
  <c r="K49" i="2"/>
  <c r="L49" i="2"/>
  <c r="M49" i="2"/>
  <c r="N49" i="2"/>
  <c r="O49" i="2"/>
  <c r="P49" i="2"/>
  <c r="Q49" i="2"/>
  <c r="R49" i="2"/>
  <c r="G50" i="2"/>
  <c r="H50" i="2"/>
  <c r="I50" i="2"/>
  <c r="J50" i="2"/>
  <c r="K50" i="2"/>
  <c r="L50" i="2"/>
  <c r="M50" i="2"/>
  <c r="N50" i="2"/>
  <c r="O50" i="2"/>
  <c r="P50" i="2"/>
  <c r="Q50" i="2"/>
  <c r="R50" i="2"/>
  <c r="F50" i="2"/>
  <c r="F49" i="2"/>
  <c r="F14" i="2"/>
  <c r="F13" i="2"/>
  <c r="V39" i="6"/>
  <c r="V38" i="6"/>
  <c r="T39" i="6"/>
  <c r="T38" i="6"/>
  <c r="T32" i="6"/>
  <c r="T28" i="6"/>
  <c r="T24" i="6"/>
  <c r="T19" i="6"/>
  <c r="T15" i="6"/>
  <c r="T10" i="6"/>
  <c r="T4" i="6"/>
  <c r="T34" i="6"/>
  <c r="T33" i="6"/>
  <c r="T30" i="6"/>
  <c r="T29" i="6"/>
  <c r="T26" i="6"/>
  <c r="T25" i="6"/>
  <c r="T21" i="6"/>
  <c r="T20" i="6"/>
  <c r="T17" i="6"/>
  <c r="T16" i="6"/>
  <c r="T12" i="6"/>
  <c r="T11" i="6"/>
  <c r="T6" i="6"/>
  <c r="T5" i="6"/>
  <c r="F37" i="6"/>
  <c r="G38" i="6"/>
  <c r="H38" i="6"/>
  <c r="I38" i="6"/>
  <c r="J38" i="6"/>
  <c r="K38" i="6"/>
  <c r="L38" i="6"/>
  <c r="M38" i="6"/>
  <c r="N38" i="6"/>
  <c r="O38" i="6"/>
  <c r="P38" i="6"/>
  <c r="Q38" i="6"/>
  <c r="R38" i="6"/>
  <c r="G39" i="6"/>
  <c r="H39" i="6"/>
  <c r="I39" i="6"/>
  <c r="J39" i="6"/>
  <c r="K39" i="6"/>
  <c r="L39" i="6"/>
  <c r="M39" i="6"/>
  <c r="N39" i="6"/>
  <c r="O39" i="6"/>
  <c r="P39" i="6"/>
  <c r="Q39" i="6"/>
  <c r="R39" i="6"/>
  <c r="F39" i="6"/>
  <c r="F38" i="6"/>
  <c r="G13" i="2"/>
  <c r="H13" i="2"/>
  <c r="I13" i="2"/>
  <c r="J13" i="2"/>
  <c r="K13" i="2"/>
  <c r="L13" i="2"/>
  <c r="M13" i="2"/>
  <c r="N13" i="2"/>
  <c r="O13" i="2"/>
  <c r="P13" i="2"/>
  <c r="Q13" i="2"/>
  <c r="R13" i="2"/>
  <c r="G14" i="2"/>
  <c r="H14" i="2"/>
  <c r="I14" i="2"/>
  <c r="J14" i="2"/>
  <c r="K14" i="2"/>
  <c r="L14" i="2"/>
  <c r="M14" i="2"/>
  <c r="N14" i="2"/>
  <c r="O14" i="2"/>
  <c r="P14" i="2"/>
  <c r="Q14" i="2"/>
  <c r="R14" i="2"/>
  <c r="G45" i="2"/>
  <c r="G44" i="2" s="1"/>
  <c r="H45" i="2"/>
  <c r="H44" i="2" s="1"/>
  <c r="I45" i="2"/>
  <c r="I44" i="2" s="1"/>
  <c r="J45" i="2"/>
  <c r="J44" i="2" s="1"/>
  <c r="K45" i="2"/>
  <c r="L45" i="2"/>
  <c r="M45" i="2"/>
  <c r="N45" i="2"/>
  <c r="O45" i="2"/>
  <c r="P45" i="2"/>
  <c r="P44" i="2" s="1"/>
  <c r="G46" i="2"/>
  <c r="H46" i="2"/>
  <c r="I46" i="2"/>
  <c r="J46" i="2"/>
  <c r="K46" i="2"/>
  <c r="L46" i="2"/>
  <c r="M46" i="2"/>
  <c r="M44" i="2" s="1"/>
  <c r="N46" i="2"/>
  <c r="N44" i="2" s="1"/>
  <c r="O46" i="2"/>
  <c r="O44" i="2" s="1"/>
  <c r="P46" i="2"/>
  <c r="F46" i="2"/>
  <c r="F45" i="2"/>
  <c r="F44" i="2" s="1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Q46" i="2"/>
  <c r="E46" i="2"/>
  <c r="D46" i="2"/>
  <c r="Q45" i="2"/>
  <c r="E45" i="2"/>
  <c r="E44" i="2" s="1"/>
  <c r="D45" i="2"/>
  <c r="D44" i="2" s="1"/>
  <c r="L44" i="2"/>
  <c r="K44" i="2"/>
  <c r="Q41" i="2"/>
  <c r="Q42" i="2"/>
  <c r="Q43" i="2"/>
  <c r="P41" i="2"/>
  <c r="P40" i="2" s="1"/>
  <c r="P42" i="2"/>
  <c r="P43" i="2"/>
  <c r="G41" i="2"/>
  <c r="H41" i="2"/>
  <c r="H40" i="2" s="1"/>
  <c r="I41" i="2"/>
  <c r="I40" i="2" s="1"/>
  <c r="J41" i="2"/>
  <c r="K41" i="2"/>
  <c r="L41" i="2"/>
  <c r="L40" i="2" s="1"/>
  <c r="M41" i="2"/>
  <c r="N41" i="2"/>
  <c r="O41" i="2"/>
  <c r="G42" i="2"/>
  <c r="H42" i="2"/>
  <c r="I42" i="2"/>
  <c r="J42" i="2"/>
  <c r="K42" i="2"/>
  <c r="L42" i="2"/>
  <c r="M42" i="2"/>
  <c r="N42" i="2"/>
  <c r="O42" i="2"/>
  <c r="G43" i="2"/>
  <c r="G40" i="2" s="1"/>
  <c r="H43" i="2"/>
  <c r="I43" i="2"/>
  <c r="J43" i="2"/>
  <c r="K43" i="2"/>
  <c r="L43" i="2"/>
  <c r="M43" i="2"/>
  <c r="N43" i="2"/>
  <c r="O43" i="2"/>
  <c r="F42" i="2"/>
  <c r="F43" i="2"/>
  <c r="F41" i="2"/>
  <c r="F40" i="2" s="1"/>
  <c r="E43" i="2"/>
  <c r="E42" i="2"/>
  <c r="D42" i="2"/>
  <c r="N40" i="2"/>
  <c r="M40" i="2"/>
  <c r="E41" i="2"/>
  <c r="D41" i="2"/>
  <c r="E40" i="2"/>
  <c r="D40" i="2"/>
  <c r="G37" i="2"/>
  <c r="H37" i="2"/>
  <c r="I37" i="2"/>
  <c r="J37" i="2"/>
  <c r="K37" i="2"/>
  <c r="L37" i="2"/>
  <c r="M37" i="2"/>
  <c r="N37" i="2"/>
  <c r="O37" i="2"/>
  <c r="G38" i="2"/>
  <c r="H38" i="2"/>
  <c r="I38" i="2"/>
  <c r="J38" i="2"/>
  <c r="K38" i="2"/>
  <c r="L38" i="2"/>
  <c r="M38" i="2"/>
  <c r="N38" i="2"/>
  <c r="O38" i="2"/>
  <c r="G39" i="2"/>
  <c r="H39" i="2"/>
  <c r="I39" i="2"/>
  <c r="J39" i="2"/>
  <c r="K39" i="2"/>
  <c r="L39" i="2"/>
  <c r="M39" i="2"/>
  <c r="N39" i="2"/>
  <c r="O39" i="2"/>
  <c r="F38" i="2"/>
  <c r="F39" i="2"/>
  <c r="F37" i="2"/>
  <c r="G33" i="2"/>
  <c r="H33" i="2"/>
  <c r="I33" i="2"/>
  <c r="J33" i="2"/>
  <c r="K33" i="2"/>
  <c r="L33" i="2"/>
  <c r="M33" i="2"/>
  <c r="N33" i="2"/>
  <c r="O33" i="2"/>
  <c r="G34" i="2"/>
  <c r="H34" i="2"/>
  <c r="I34" i="2"/>
  <c r="J34" i="2"/>
  <c r="K34" i="2"/>
  <c r="L34" i="2"/>
  <c r="M34" i="2"/>
  <c r="N34" i="2"/>
  <c r="O34" i="2"/>
  <c r="G35" i="2"/>
  <c r="H35" i="2"/>
  <c r="I35" i="2"/>
  <c r="J35" i="2"/>
  <c r="K35" i="2"/>
  <c r="L35" i="2"/>
  <c r="M35" i="2"/>
  <c r="N35" i="2"/>
  <c r="O35" i="2"/>
  <c r="F34" i="2"/>
  <c r="F35" i="2"/>
  <c r="F33" i="2"/>
  <c r="G29" i="2"/>
  <c r="H29" i="2"/>
  <c r="I29" i="2"/>
  <c r="J29" i="2"/>
  <c r="K29" i="2"/>
  <c r="L29" i="2"/>
  <c r="M29" i="2"/>
  <c r="G30" i="2"/>
  <c r="H30" i="2"/>
  <c r="I30" i="2"/>
  <c r="J30" i="2"/>
  <c r="K30" i="2"/>
  <c r="L30" i="2"/>
  <c r="M30" i="2"/>
  <c r="F30" i="2"/>
  <c r="F29" i="2"/>
  <c r="G17" i="2"/>
  <c r="H17" i="2"/>
  <c r="I17" i="2"/>
  <c r="J17" i="2"/>
  <c r="K17" i="2"/>
  <c r="L17" i="2"/>
  <c r="M17" i="2"/>
  <c r="G18" i="2"/>
  <c r="H18" i="2"/>
  <c r="I18" i="2"/>
  <c r="J18" i="2"/>
  <c r="K18" i="2"/>
  <c r="L18" i="2"/>
  <c r="M18" i="2"/>
  <c r="F18" i="2"/>
  <c r="F17" i="2"/>
  <c r="E157" i="36"/>
  <c r="E155" i="36"/>
  <c r="E143" i="36"/>
  <c r="O29" i="6"/>
  <c r="K19" i="5"/>
  <c r="J19" i="5"/>
  <c r="F33" i="6"/>
  <c r="G33" i="6"/>
  <c r="H33" i="6"/>
  <c r="I33" i="6"/>
  <c r="M33" i="6"/>
  <c r="N33" i="6"/>
  <c r="O33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E55" i="36"/>
  <c r="J167" i="36"/>
  <c r="J166" i="36"/>
  <c r="A157" i="36"/>
  <c r="B157" i="36"/>
  <c r="H157" i="36"/>
  <c r="C30" i="36"/>
  <c r="C20" i="36"/>
  <c r="D20" i="36" s="1"/>
  <c r="D15" i="5"/>
  <c r="D14" i="5"/>
  <c r="D13" i="5"/>
  <c r="D12" i="5"/>
  <c r="D11" i="5"/>
  <c r="L45" i="39"/>
  <c r="L55" i="39"/>
  <c r="L56" i="39"/>
  <c r="C15" i="5"/>
  <c r="C14" i="5"/>
  <c r="C13" i="5"/>
  <c r="C12" i="5"/>
  <c r="J52" i="38"/>
  <c r="J47" i="38"/>
  <c r="J53" i="38"/>
  <c r="C11" i="5"/>
  <c r="M53" i="38"/>
  <c r="O59" i="39"/>
  <c r="L41" i="39"/>
  <c r="L24" i="39"/>
  <c r="F53" i="2" l="1"/>
  <c r="K40" i="2"/>
  <c r="O40" i="2"/>
  <c r="J40" i="2"/>
  <c r="J42" i="38"/>
  <c r="J26" i="38"/>
  <c r="L41" i="37"/>
  <c r="E15" i="5"/>
  <c r="E14" i="5"/>
  <c r="E19" i="5" s="1"/>
  <c r="E13" i="5"/>
  <c r="E12" i="5"/>
  <c r="E11" i="5"/>
  <c r="L23" i="37"/>
  <c r="L50" i="37"/>
  <c r="L51" i="37"/>
  <c r="C19" i="5"/>
  <c r="C20" i="17" s="1"/>
  <c r="C20" i="5" l="1"/>
  <c r="E20" i="17"/>
  <c r="F20" i="17" s="1"/>
  <c r="F21" i="17" s="1"/>
  <c r="E20" i="5"/>
  <c r="D19" i="5" l="1"/>
  <c r="D20" i="5" s="1"/>
  <c r="G25" i="17"/>
  <c r="H25" i="17"/>
  <c r="I25" i="17"/>
  <c r="J25" i="17"/>
  <c r="K25" i="17"/>
  <c r="L25" i="17"/>
  <c r="M25" i="17"/>
  <c r="N25" i="17"/>
  <c r="O25" i="17"/>
  <c r="P25" i="17"/>
  <c r="Q25" i="17"/>
  <c r="R25" i="17"/>
  <c r="F25" i="17"/>
  <c r="N40" i="6"/>
  <c r="O40" i="6"/>
  <c r="P40" i="6"/>
  <c r="Q40" i="6"/>
  <c r="R40" i="6"/>
  <c r="F23" i="17"/>
  <c r="A13" i="36"/>
  <c r="A14" i="36" s="1"/>
  <c r="A15" i="36" s="1"/>
  <c r="A16" i="36" s="1"/>
  <c r="A17" i="36" s="1"/>
  <c r="A18" i="36" s="1"/>
  <c r="A19" i="36" s="1"/>
  <c r="A21" i="36" s="1"/>
  <c r="A22" i="36" s="1"/>
  <c r="A23" i="36" s="1"/>
  <c r="A24" i="36" s="1"/>
  <c r="A25" i="36" s="1"/>
  <c r="A26" i="36" s="1"/>
  <c r="A27" i="36" s="1"/>
  <c r="A28" i="36" s="1"/>
  <c r="A29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I163" i="36"/>
  <c r="M158" i="36"/>
  <c r="H34" i="36"/>
  <c r="H35" i="36" s="1"/>
  <c r="H36" i="36" s="1"/>
  <c r="H37" i="36" s="1"/>
  <c r="H38" i="36" s="1"/>
  <c r="H39" i="36" s="1"/>
  <c r="H40" i="36" s="1"/>
  <c r="H41" i="36" s="1"/>
  <c r="H42" i="36" s="1"/>
  <c r="H43" i="36" s="1"/>
  <c r="H44" i="36" s="1"/>
  <c r="H45" i="36" s="1"/>
  <c r="H46" i="36" s="1"/>
  <c r="H47" i="36" s="1"/>
  <c r="H48" i="36" s="1"/>
  <c r="H49" i="36" s="1"/>
  <c r="H50" i="36" s="1"/>
  <c r="H51" i="36" s="1"/>
  <c r="H52" i="36" s="1"/>
  <c r="H53" i="36" s="1"/>
  <c r="H54" i="36" s="1"/>
  <c r="H55" i="36" s="1"/>
  <c r="H56" i="36" s="1"/>
  <c r="H57" i="36" s="1"/>
  <c r="H58" i="36" s="1"/>
  <c r="H59" i="36" s="1"/>
  <c r="H60" i="36" s="1"/>
  <c r="H61" i="36" s="1"/>
  <c r="H62" i="36" s="1"/>
  <c r="H63" i="36" s="1"/>
  <c r="H64" i="36" s="1"/>
  <c r="H65" i="36" s="1"/>
  <c r="H66" i="36" s="1"/>
  <c r="H67" i="36" s="1"/>
  <c r="H68" i="36" s="1"/>
  <c r="H69" i="36" s="1"/>
  <c r="H70" i="36" s="1"/>
  <c r="H71" i="36" s="1"/>
  <c r="H72" i="36" s="1"/>
  <c r="H73" i="36" s="1"/>
  <c r="H74" i="36" s="1"/>
  <c r="H75" i="36" s="1"/>
  <c r="H76" i="36" s="1"/>
  <c r="H77" i="36" s="1"/>
  <c r="H78" i="36" s="1"/>
  <c r="H79" i="36" s="1"/>
  <c r="H80" i="36" s="1"/>
  <c r="H81" i="36" s="1"/>
  <c r="H82" i="36" s="1"/>
  <c r="H83" i="36" s="1"/>
  <c r="H84" i="36" s="1"/>
  <c r="H85" i="36" s="1"/>
  <c r="H86" i="36" s="1"/>
  <c r="H87" i="36" s="1"/>
  <c r="H88" i="36" s="1"/>
  <c r="H89" i="36" s="1"/>
  <c r="H90" i="36" s="1"/>
  <c r="H91" i="36" s="1"/>
  <c r="H92" i="36" s="1"/>
  <c r="H93" i="36" s="1"/>
  <c r="H94" i="36" s="1"/>
  <c r="H95" i="36" s="1"/>
  <c r="H96" i="36" s="1"/>
  <c r="H97" i="36" s="1"/>
  <c r="H98" i="36" s="1"/>
  <c r="H99" i="36" s="1"/>
  <c r="H100" i="36" s="1"/>
  <c r="H101" i="36" s="1"/>
  <c r="H102" i="36" s="1"/>
  <c r="H103" i="36" s="1"/>
  <c r="H104" i="36" s="1"/>
  <c r="H105" i="36" s="1"/>
  <c r="H106" i="36" s="1"/>
  <c r="H107" i="36" s="1"/>
  <c r="H108" i="36" s="1"/>
  <c r="H109" i="36" s="1"/>
  <c r="H110" i="36" s="1"/>
  <c r="H111" i="36" s="1"/>
  <c r="H112" i="36" s="1"/>
  <c r="H113" i="36" s="1"/>
  <c r="H114" i="36" s="1"/>
  <c r="H115" i="36" s="1"/>
  <c r="H116" i="36" s="1"/>
  <c r="H117" i="36" s="1"/>
  <c r="H118" i="36" s="1"/>
  <c r="H119" i="36" s="1"/>
  <c r="H120" i="36" s="1"/>
  <c r="H121" i="36" s="1"/>
  <c r="H122" i="36" s="1"/>
  <c r="H123" i="36" s="1"/>
  <c r="H124" i="36" s="1"/>
  <c r="H125" i="36" s="1"/>
  <c r="H126" i="36" s="1"/>
  <c r="H127" i="36" s="1"/>
  <c r="H128" i="36" s="1"/>
  <c r="H129" i="36" s="1"/>
  <c r="H130" i="36" s="1"/>
  <c r="H131" i="36" s="1"/>
  <c r="H132" i="36" s="1"/>
  <c r="H133" i="36" s="1"/>
  <c r="H134" i="36" s="1"/>
  <c r="H135" i="36" s="1"/>
  <c r="H136" i="36" s="1"/>
  <c r="H137" i="36" s="1"/>
  <c r="H138" i="36" s="1"/>
  <c r="H139" i="36" s="1"/>
  <c r="H140" i="36" s="1"/>
  <c r="H141" i="36" s="1"/>
  <c r="H142" i="36" s="1"/>
  <c r="H143" i="36" s="1"/>
  <c r="H144" i="36" s="1"/>
  <c r="H145" i="36" s="1"/>
  <c r="H146" i="36" s="1"/>
  <c r="H147" i="36" s="1"/>
  <c r="H148" i="36" s="1"/>
  <c r="H149" i="36" s="1"/>
  <c r="H150" i="36" s="1"/>
  <c r="H151" i="36" s="1"/>
  <c r="H152" i="36" s="1"/>
  <c r="H153" i="36" s="1"/>
  <c r="H154" i="36" s="1"/>
  <c r="H155" i="36" s="1"/>
  <c r="H156" i="36" s="1"/>
  <c r="I21" i="36"/>
  <c r="G13" i="36"/>
  <c r="D10" i="36"/>
  <c r="D11" i="36" s="1"/>
  <c r="D12" i="36" s="1"/>
  <c r="D13" i="36" s="1"/>
  <c r="D14" i="36" s="1"/>
  <c r="D15" i="36" s="1"/>
  <c r="D16" i="36" s="1"/>
  <c r="D17" i="36" s="1"/>
  <c r="D18" i="36" s="1"/>
  <c r="D19" i="36" s="1"/>
  <c r="D21" i="36" s="1"/>
  <c r="D22" i="36" s="1"/>
  <c r="D23" i="36" s="1"/>
  <c r="B10" i="36"/>
  <c r="B11" i="36" s="1"/>
  <c r="K6" i="36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C21" i="17"/>
  <c r="G29" i="6"/>
  <c r="H29" i="6"/>
  <c r="I29" i="6"/>
  <c r="J29" i="6"/>
  <c r="K29" i="6"/>
  <c r="L29" i="6"/>
  <c r="M29" i="6"/>
  <c r="N29" i="6"/>
  <c r="E29" i="6"/>
  <c r="T7" i="34"/>
  <c r="I133" i="34"/>
  <c r="E28" i="34"/>
  <c r="K28" i="34"/>
  <c r="K29" i="34"/>
  <c r="L28" i="34"/>
  <c r="A17" i="34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E31" i="34"/>
  <c r="C16" i="34"/>
  <c r="C134" i="34" s="1"/>
  <c r="I139" i="34"/>
  <c r="M134" i="34"/>
  <c r="I20" i="34"/>
  <c r="G13" i="34"/>
  <c r="D10" i="34"/>
  <c r="D11" i="34" s="1"/>
  <c r="D12" i="34" s="1"/>
  <c r="D13" i="34" s="1"/>
  <c r="D14" i="34" s="1"/>
  <c r="D15" i="34" s="1"/>
  <c r="D16" i="34" s="1"/>
  <c r="D17" i="34" s="1"/>
  <c r="D18" i="34" s="1"/>
  <c r="D19" i="34" s="1"/>
  <c r="D20" i="34" s="1"/>
  <c r="D21" i="34" s="1"/>
  <c r="D22" i="34" s="1"/>
  <c r="D23" i="34" s="1"/>
  <c r="D24" i="34" s="1"/>
  <c r="D25" i="34" s="1"/>
  <c r="D26" i="34" s="1"/>
  <c r="D27" i="34" s="1"/>
  <c r="D28" i="34" s="1"/>
  <c r="B10" i="34"/>
  <c r="K6" i="34"/>
  <c r="L6" i="34" s="1"/>
  <c r="M6" i="34" s="1"/>
  <c r="N6" i="34" s="1"/>
  <c r="O6" i="34" s="1"/>
  <c r="P6" i="34" s="1"/>
  <c r="Q6" i="34" s="1"/>
  <c r="R6" i="34" s="1"/>
  <c r="S6" i="34" s="1"/>
  <c r="T6" i="34" s="1"/>
  <c r="A157" i="33"/>
  <c r="A158" i="33"/>
  <c r="I154" i="33"/>
  <c r="I152" i="33"/>
  <c r="H157" i="33"/>
  <c r="H158" i="33"/>
  <c r="D157" i="33"/>
  <c r="D158" i="33"/>
  <c r="E159" i="33"/>
  <c r="E155" i="33"/>
  <c r="E158" i="33"/>
  <c r="E143" i="33"/>
  <c r="E131" i="33"/>
  <c r="E119" i="33"/>
  <c r="E107" i="33"/>
  <c r="E95" i="33"/>
  <c r="E83" i="33"/>
  <c r="E71" i="33"/>
  <c r="E32" i="33"/>
  <c r="B157" i="33"/>
  <c r="B158" i="33"/>
  <c r="C28" i="33"/>
  <c r="C23" i="33"/>
  <c r="E51" i="2"/>
  <c r="E156" i="33"/>
  <c r="K35" i="17"/>
  <c r="K34" i="17"/>
  <c r="C35" i="17"/>
  <c r="C34" i="17"/>
  <c r="A28" i="17"/>
  <c r="I164" i="33"/>
  <c r="E33" i="36" l="1"/>
  <c r="E34" i="36" s="1"/>
  <c r="E35" i="36" s="1"/>
  <c r="E36" i="36" s="1"/>
  <c r="E37" i="36" s="1"/>
  <c r="E38" i="36" s="1"/>
  <c r="E39" i="36" s="1"/>
  <c r="E40" i="36" s="1"/>
  <c r="E41" i="36" s="1"/>
  <c r="E42" i="36" s="1"/>
  <c r="E43" i="36" s="1"/>
  <c r="E44" i="36" s="1"/>
  <c r="E45" i="36" s="1"/>
  <c r="E46" i="36" s="1"/>
  <c r="E47" i="36" s="1"/>
  <c r="E48" i="36" s="1"/>
  <c r="E49" i="36" s="1"/>
  <c r="E50" i="36" s="1"/>
  <c r="E51" i="36" s="1"/>
  <c r="E52" i="36" s="1"/>
  <c r="E53" i="36" s="1"/>
  <c r="E54" i="36" s="1"/>
  <c r="E56" i="36" s="1"/>
  <c r="E57" i="36" s="1"/>
  <c r="E58" i="36" s="1"/>
  <c r="E60" i="36" s="1"/>
  <c r="D24" i="36"/>
  <c r="D25" i="36" s="1"/>
  <c r="D26" i="36" s="1"/>
  <c r="D27" i="36" s="1"/>
  <c r="D28" i="36" s="1"/>
  <c r="B12" i="36"/>
  <c r="D29" i="34"/>
  <c r="D30" i="34" s="1"/>
  <c r="D31" i="34" s="1"/>
  <c r="D32" i="34" s="1"/>
  <c r="D33" i="34" s="1"/>
  <c r="D34" i="34" s="1"/>
  <c r="E34" i="34"/>
  <c r="B11" i="34"/>
  <c r="I32" i="34"/>
  <c r="K7" i="34" s="1"/>
  <c r="G51" i="2"/>
  <c r="H51" i="2"/>
  <c r="I51" i="2"/>
  <c r="J51" i="2"/>
  <c r="K51" i="2"/>
  <c r="L51" i="2"/>
  <c r="M51" i="2"/>
  <c r="N51" i="2"/>
  <c r="O51" i="2"/>
  <c r="P51" i="2"/>
  <c r="Q51" i="2"/>
  <c r="R51" i="2"/>
  <c r="P33" i="2"/>
  <c r="Q33" i="2"/>
  <c r="R33" i="2"/>
  <c r="P34" i="2"/>
  <c r="Q34" i="2"/>
  <c r="R34" i="2"/>
  <c r="P35" i="2"/>
  <c r="Q35" i="2"/>
  <c r="R35" i="2"/>
  <c r="E35" i="2"/>
  <c r="E39" i="2"/>
  <c r="D38" i="2"/>
  <c r="D37" i="2"/>
  <c r="D36" i="2" s="1"/>
  <c r="O29" i="2"/>
  <c r="P29" i="2"/>
  <c r="Q29" i="2"/>
  <c r="R29" i="2"/>
  <c r="O30" i="2"/>
  <c r="P30" i="2"/>
  <c r="Q30" i="2"/>
  <c r="R30" i="2"/>
  <c r="O31" i="2"/>
  <c r="P31" i="2"/>
  <c r="Q31" i="2"/>
  <c r="R31" i="2"/>
  <c r="N17" i="2"/>
  <c r="O17" i="2"/>
  <c r="P17" i="2"/>
  <c r="Q17" i="2"/>
  <c r="R17" i="2"/>
  <c r="N18" i="2"/>
  <c r="O18" i="2"/>
  <c r="P18" i="2"/>
  <c r="Q18" i="2"/>
  <c r="R18" i="2"/>
  <c r="M19" i="2"/>
  <c r="N19" i="2"/>
  <c r="O19" i="2"/>
  <c r="P19" i="2"/>
  <c r="Q19" i="2"/>
  <c r="R19" i="2"/>
  <c r="E20" i="2"/>
  <c r="E21" i="2"/>
  <c r="E26" i="2"/>
  <c r="R15" i="2" l="1"/>
  <c r="Q15" i="2"/>
  <c r="P15" i="2"/>
  <c r="E61" i="36"/>
  <c r="E62" i="36" s="1"/>
  <c r="E63" i="36" s="1"/>
  <c r="E64" i="36" s="1"/>
  <c r="E65" i="36" s="1"/>
  <c r="E66" i="36" s="1"/>
  <c r="E67" i="36" s="1"/>
  <c r="E68" i="36" s="1"/>
  <c r="E69" i="36" s="1"/>
  <c r="E70" i="36" s="1"/>
  <c r="D29" i="36"/>
  <c r="C158" i="36"/>
  <c r="I34" i="36"/>
  <c r="K7" i="36" s="1"/>
  <c r="B13" i="36"/>
  <c r="B14" i="36" s="1"/>
  <c r="D35" i="34"/>
  <c r="D36" i="34" s="1"/>
  <c r="D37" i="34" s="1"/>
  <c r="E37" i="34"/>
  <c r="E40" i="34" s="1"/>
  <c r="E43" i="34" s="1"/>
  <c r="E46" i="34" s="1"/>
  <c r="E49" i="34" s="1"/>
  <c r="E52" i="34" s="1"/>
  <c r="E55" i="34" s="1"/>
  <c r="E58" i="34" s="1"/>
  <c r="E61" i="34" s="1"/>
  <c r="E64" i="34" s="1"/>
  <c r="E67" i="34" s="1"/>
  <c r="E70" i="34" s="1"/>
  <c r="E73" i="34" s="1"/>
  <c r="E76" i="34" s="1"/>
  <c r="E79" i="34" s="1"/>
  <c r="E82" i="34" s="1"/>
  <c r="E85" i="34" s="1"/>
  <c r="E88" i="34" s="1"/>
  <c r="E91" i="34" s="1"/>
  <c r="E94" i="34" s="1"/>
  <c r="E97" i="34" s="1"/>
  <c r="E100" i="34" s="1"/>
  <c r="E103" i="34" s="1"/>
  <c r="E106" i="34" s="1"/>
  <c r="E109" i="34" s="1"/>
  <c r="E112" i="34" s="1"/>
  <c r="E115" i="34" s="1"/>
  <c r="E118" i="34" s="1"/>
  <c r="E121" i="34" s="1"/>
  <c r="E124" i="34" s="1"/>
  <c r="E127" i="34" s="1"/>
  <c r="E130" i="34" s="1"/>
  <c r="E133" i="34" s="1"/>
  <c r="B12" i="34"/>
  <c r="O15" i="2"/>
  <c r="C26" i="28"/>
  <c r="E71" i="36" l="1"/>
  <c r="E72" i="36" s="1"/>
  <c r="E73" i="36" s="1"/>
  <c r="E74" i="36" s="1"/>
  <c r="E75" i="36" s="1"/>
  <c r="E76" i="36" s="1"/>
  <c r="E77" i="36" s="1"/>
  <c r="E78" i="36" s="1"/>
  <c r="E79" i="36" s="1"/>
  <c r="E80" i="36" s="1"/>
  <c r="E81" i="36" s="1"/>
  <c r="E82" i="36" s="1"/>
  <c r="E84" i="36" s="1"/>
  <c r="E85" i="36" s="1"/>
  <c r="E86" i="36" s="1"/>
  <c r="E87" i="36" s="1"/>
  <c r="E88" i="36" s="1"/>
  <c r="E89" i="36" s="1"/>
  <c r="E90" i="36" s="1"/>
  <c r="E91" i="36" s="1"/>
  <c r="E92" i="36" s="1"/>
  <c r="E93" i="36" s="1"/>
  <c r="E94" i="36" s="1"/>
  <c r="E96" i="36" s="1"/>
  <c r="E97" i="36" s="1"/>
  <c r="E98" i="36" s="1"/>
  <c r="E99" i="36" s="1"/>
  <c r="E100" i="36" s="1"/>
  <c r="E101" i="36" s="1"/>
  <c r="E102" i="36" s="1"/>
  <c r="E103" i="36" s="1"/>
  <c r="E104" i="36" s="1"/>
  <c r="E105" i="36" s="1"/>
  <c r="E106" i="36" s="1"/>
  <c r="E107" i="36"/>
  <c r="E108" i="36" s="1"/>
  <c r="E109" i="36" s="1"/>
  <c r="E110" i="36" s="1"/>
  <c r="E111" i="36" s="1"/>
  <c r="E112" i="36" s="1"/>
  <c r="E113" i="36" s="1"/>
  <c r="E114" i="36" s="1"/>
  <c r="E115" i="36" s="1"/>
  <c r="E116" i="36" s="1"/>
  <c r="E117" i="36" s="1"/>
  <c r="E118" i="36" s="1"/>
  <c r="E120" i="36" s="1"/>
  <c r="E121" i="36" s="1"/>
  <c r="E122" i="36" s="1"/>
  <c r="E123" i="36" s="1"/>
  <c r="E124" i="36" s="1"/>
  <c r="E125" i="36" s="1"/>
  <c r="E126" i="36" s="1"/>
  <c r="E127" i="36" s="1"/>
  <c r="E128" i="36" s="1"/>
  <c r="E129" i="36" s="1"/>
  <c r="E130" i="36" s="1"/>
  <c r="E132" i="36"/>
  <c r="D30" i="36"/>
  <c r="D31" i="36" s="1"/>
  <c r="D32" i="36" s="1"/>
  <c r="D33" i="36" s="1"/>
  <c r="D34" i="36" s="1"/>
  <c r="D35" i="36" s="1"/>
  <c r="D36" i="36" s="1"/>
  <c r="D37" i="36" s="1"/>
  <c r="D38" i="36" s="1"/>
  <c r="D39" i="36" s="1"/>
  <c r="D40" i="36" s="1"/>
  <c r="D41" i="36" s="1"/>
  <c r="D42" i="36" s="1"/>
  <c r="D43" i="36" s="1"/>
  <c r="D44" i="36" s="1"/>
  <c r="D45" i="36" s="1"/>
  <c r="I70" i="36"/>
  <c r="B15" i="36"/>
  <c r="E134" i="34"/>
  <c r="D38" i="34"/>
  <c r="D39" i="34" s="1"/>
  <c r="D40" i="34" s="1"/>
  <c r="D41" i="34" s="1"/>
  <c r="D42" i="34" s="1"/>
  <c r="D43" i="34" s="1"/>
  <c r="B13" i="34"/>
  <c r="B14" i="34" s="1"/>
  <c r="M159" i="33"/>
  <c r="H32" i="33"/>
  <c r="H33" i="33" s="1"/>
  <c r="H34" i="33" s="1"/>
  <c r="H35" i="33" s="1"/>
  <c r="H36" i="33" s="1"/>
  <c r="H37" i="33" s="1"/>
  <c r="H38" i="33" s="1"/>
  <c r="H39" i="33" s="1"/>
  <c r="H40" i="33" s="1"/>
  <c r="H41" i="33" s="1"/>
  <c r="H42" i="33" s="1"/>
  <c r="H43" i="33" s="1"/>
  <c r="H44" i="33" s="1"/>
  <c r="H45" i="33" s="1"/>
  <c r="H46" i="33" s="1"/>
  <c r="H47" i="33" s="1"/>
  <c r="H48" i="33" s="1"/>
  <c r="H49" i="33" s="1"/>
  <c r="H50" i="33" s="1"/>
  <c r="H51" i="33" s="1"/>
  <c r="H52" i="33" s="1"/>
  <c r="H53" i="33" s="1"/>
  <c r="H54" i="33" s="1"/>
  <c r="H55" i="33" s="1"/>
  <c r="H56" i="33" s="1"/>
  <c r="H57" i="33" s="1"/>
  <c r="H58" i="33" s="1"/>
  <c r="H59" i="33" s="1"/>
  <c r="H60" i="33" s="1"/>
  <c r="H61" i="33" s="1"/>
  <c r="H62" i="33" s="1"/>
  <c r="H63" i="33" s="1"/>
  <c r="H64" i="33" s="1"/>
  <c r="H65" i="33" s="1"/>
  <c r="H66" i="33" s="1"/>
  <c r="H67" i="33" s="1"/>
  <c r="H68" i="33" s="1"/>
  <c r="H69" i="33" s="1"/>
  <c r="H70" i="33" s="1"/>
  <c r="H71" i="33" s="1"/>
  <c r="H72" i="33" s="1"/>
  <c r="H73" i="33" s="1"/>
  <c r="H74" i="33" s="1"/>
  <c r="H75" i="33" s="1"/>
  <c r="H76" i="33" s="1"/>
  <c r="H77" i="33" s="1"/>
  <c r="H78" i="33" s="1"/>
  <c r="H79" i="33" s="1"/>
  <c r="H80" i="33" s="1"/>
  <c r="H81" i="33" s="1"/>
  <c r="H82" i="33" s="1"/>
  <c r="H83" i="33" s="1"/>
  <c r="H84" i="33" s="1"/>
  <c r="H85" i="33" s="1"/>
  <c r="H86" i="33" s="1"/>
  <c r="H87" i="33" s="1"/>
  <c r="H88" i="33" s="1"/>
  <c r="H89" i="33" s="1"/>
  <c r="H90" i="33" s="1"/>
  <c r="H91" i="33" s="1"/>
  <c r="H92" i="33" s="1"/>
  <c r="H93" i="33" s="1"/>
  <c r="H94" i="33" s="1"/>
  <c r="H95" i="33" s="1"/>
  <c r="H96" i="33" s="1"/>
  <c r="H97" i="33" s="1"/>
  <c r="H98" i="33" s="1"/>
  <c r="H99" i="33" s="1"/>
  <c r="H100" i="33" s="1"/>
  <c r="H101" i="33" s="1"/>
  <c r="H102" i="33" s="1"/>
  <c r="H103" i="33" s="1"/>
  <c r="H104" i="33" s="1"/>
  <c r="H105" i="33" s="1"/>
  <c r="H106" i="33" s="1"/>
  <c r="H107" i="33" s="1"/>
  <c r="H108" i="33" s="1"/>
  <c r="H109" i="33" s="1"/>
  <c r="H110" i="33" s="1"/>
  <c r="H111" i="33" s="1"/>
  <c r="H112" i="33" s="1"/>
  <c r="H113" i="33" s="1"/>
  <c r="H114" i="33" s="1"/>
  <c r="H115" i="33" s="1"/>
  <c r="H116" i="33" s="1"/>
  <c r="H117" i="33" s="1"/>
  <c r="H118" i="33" s="1"/>
  <c r="H119" i="33" s="1"/>
  <c r="H120" i="33" s="1"/>
  <c r="H121" i="33" s="1"/>
  <c r="H122" i="33" s="1"/>
  <c r="H123" i="33" s="1"/>
  <c r="H124" i="33" s="1"/>
  <c r="H125" i="33" s="1"/>
  <c r="H126" i="33" s="1"/>
  <c r="H127" i="33" s="1"/>
  <c r="H128" i="33" s="1"/>
  <c r="H129" i="33" s="1"/>
  <c r="H130" i="33" s="1"/>
  <c r="H131" i="33" s="1"/>
  <c r="H132" i="33" s="1"/>
  <c r="H133" i="33" s="1"/>
  <c r="H134" i="33" s="1"/>
  <c r="H135" i="33" s="1"/>
  <c r="H136" i="33" s="1"/>
  <c r="H137" i="33" s="1"/>
  <c r="H138" i="33" s="1"/>
  <c r="H139" i="33" s="1"/>
  <c r="H140" i="33" s="1"/>
  <c r="H141" i="33" s="1"/>
  <c r="H142" i="33" s="1"/>
  <c r="H143" i="33" s="1"/>
  <c r="H144" i="33" s="1"/>
  <c r="H145" i="33" s="1"/>
  <c r="H146" i="33" s="1"/>
  <c r="H147" i="33" s="1"/>
  <c r="H148" i="33" s="1"/>
  <c r="H149" i="33" s="1"/>
  <c r="H150" i="33" s="1"/>
  <c r="H151" i="33" s="1"/>
  <c r="H152" i="33" s="1"/>
  <c r="H153" i="33" s="1"/>
  <c r="H154" i="33" s="1"/>
  <c r="H155" i="33" s="1"/>
  <c r="H156" i="33" s="1"/>
  <c r="E133" i="36" l="1"/>
  <c r="E134" i="36" s="1"/>
  <c r="E135" i="36" s="1"/>
  <c r="E136" i="36" s="1"/>
  <c r="E137" i="36" s="1"/>
  <c r="E138" i="36" s="1"/>
  <c r="E139" i="36" s="1"/>
  <c r="E140" i="36" s="1"/>
  <c r="E141" i="36" s="1"/>
  <c r="E142" i="36" s="1"/>
  <c r="G23" i="17"/>
  <c r="D46" i="36"/>
  <c r="B16" i="36"/>
  <c r="B15" i="34"/>
  <c r="E144" i="36" l="1"/>
  <c r="E145" i="36" s="1"/>
  <c r="E146" i="36" s="1"/>
  <c r="E147" i="36" s="1"/>
  <c r="E148" i="36" s="1"/>
  <c r="E149" i="36" s="1"/>
  <c r="E150" i="36" s="1"/>
  <c r="B17" i="36"/>
  <c r="D47" i="36"/>
  <c r="D48" i="36" s="1"/>
  <c r="I46" i="36"/>
  <c r="D44" i="34"/>
  <c r="D45" i="34" s="1"/>
  <c r="B16" i="34"/>
  <c r="E49" i="2"/>
  <c r="K6" i="33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V6" i="33" s="1"/>
  <c r="A16" i="33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I20" i="33"/>
  <c r="D10" i="33"/>
  <c r="D11" i="33" s="1"/>
  <c r="D12" i="33" s="1"/>
  <c r="D13" i="33" s="1"/>
  <c r="M150" i="36" l="1"/>
  <c r="E151" i="36"/>
  <c r="E152" i="36" s="1"/>
  <c r="E153" i="36" s="1"/>
  <c r="E154" i="36" s="1"/>
  <c r="B18" i="36"/>
  <c r="L7" i="36"/>
  <c r="D49" i="36"/>
  <c r="I44" i="34"/>
  <c r="B17" i="34"/>
  <c r="D46" i="34"/>
  <c r="D14" i="33"/>
  <c r="D15" i="33" s="1"/>
  <c r="D16" i="33" s="1"/>
  <c r="D17" i="33" s="1"/>
  <c r="D18" i="33" s="1"/>
  <c r="D19" i="33" s="1"/>
  <c r="B10" i="33"/>
  <c r="C159" i="33"/>
  <c r="E156" i="36" l="1"/>
  <c r="I106" i="36"/>
  <c r="Q7" i="36" s="1"/>
  <c r="B19" i="36"/>
  <c r="L7" i="34"/>
  <c r="B18" i="34"/>
  <c r="D20" i="33"/>
  <c r="D21" i="33" s="1"/>
  <c r="D22" i="33" s="1"/>
  <c r="D23" i="33" s="1"/>
  <c r="D24" i="33" s="1"/>
  <c r="D25" i="33" s="1"/>
  <c r="D26" i="33" s="1"/>
  <c r="B11" i="33"/>
  <c r="B14" i="20"/>
  <c r="B13" i="20"/>
  <c r="E158" i="36" l="1"/>
  <c r="M23" i="17"/>
  <c r="H23" i="17"/>
  <c r="I130" i="36"/>
  <c r="S7" i="36" s="1"/>
  <c r="D50" i="36"/>
  <c r="D51" i="36" s="1"/>
  <c r="B21" i="36"/>
  <c r="D47" i="34"/>
  <c r="D48" i="34" s="1"/>
  <c r="I92" i="34"/>
  <c r="P7" i="34" s="1"/>
  <c r="B19" i="34"/>
  <c r="I32" i="33"/>
  <c r="D27" i="33"/>
  <c r="D28" i="33" s="1"/>
  <c r="D29" i="33" s="1"/>
  <c r="D30" i="33" s="1"/>
  <c r="D31" i="33" s="1"/>
  <c r="D32" i="33" s="1"/>
  <c r="D33" i="33" s="1"/>
  <c r="B12" i="33"/>
  <c r="I156" i="36" l="1"/>
  <c r="O23" i="17"/>
  <c r="B22" i="36"/>
  <c r="I94" i="36"/>
  <c r="P7" i="36" s="1"/>
  <c r="L33" i="6" s="1"/>
  <c r="I116" i="34"/>
  <c r="R7" i="34" s="1"/>
  <c r="D49" i="34"/>
  <c r="B20" i="34"/>
  <c r="K7" i="33"/>
  <c r="E25" i="6" s="1"/>
  <c r="E34" i="33"/>
  <c r="E35" i="33" s="1"/>
  <c r="D34" i="33"/>
  <c r="B13" i="33"/>
  <c r="G12" i="11"/>
  <c r="F12" i="11"/>
  <c r="K20" i="28"/>
  <c r="L23" i="17" l="1"/>
  <c r="I142" i="36"/>
  <c r="T7" i="36" s="1"/>
  <c r="P33" i="6" s="1"/>
  <c r="I82" i="36"/>
  <c r="O7" i="36" s="1"/>
  <c r="K33" i="6" s="1"/>
  <c r="D52" i="36"/>
  <c r="D53" i="36" s="1"/>
  <c r="I118" i="36"/>
  <c r="R7" i="36" s="1"/>
  <c r="B23" i="36"/>
  <c r="D50" i="34"/>
  <c r="I104" i="34"/>
  <c r="Q7" i="34" s="1"/>
  <c r="I80" i="34"/>
  <c r="O7" i="34" s="1"/>
  <c r="I128" i="34"/>
  <c r="S7" i="34" s="1"/>
  <c r="B21" i="34"/>
  <c r="D35" i="33"/>
  <c r="B14" i="33"/>
  <c r="K23" i="17" l="1"/>
  <c r="N23" i="17"/>
  <c r="P23" i="17"/>
  <c r="I154" i="36"/>
  <c r="U7" i="36" s="1"/>
  <c r="Q33" i="6" s="1"/>
  <c r="D54" i="36"/>
  <c r="B24" i="36"/>
  <c r="V7" i="36"/>
  <c r="R33" i="6" s="1"/>
  <c r="B22" i="34"/>
  <c r="D36" i="33"/>
  <c r="B15" i="33"/>
  <c r="G13" i="33"/>
  <c r="E36" i="33"/>
  <c r="B12" i="11"/>
  <c r="N17" i="11"/>
  <c r="E12" i="11"/>
  <c r="O12" i="11"/>
  <c r="R23" i="17" l="1"/>
  <c r="Q23" i="17"/>
  <c r="B25" i="36"/>
  <c r="D51" i="34"/>
  <c r="D52" i="34" s="1"/>
  <c r="B23" i="34"/>
  <c r="D37" i="33"/>
  <c r="B16" i="33"/>
  <c r="H13" i="11"/>
  <c r="D55" i="36" l="1"/>
  <c r="D56" i="36" s="1"/>
  <c r="B26" i="36"/>
  <c r="B24" i="34"/>
  <c r="D53" i="34"/>
  <c r="D38" i="33"/>
  <c r="B17" i="33"/>
  <c r="E38" i="33"/>
  <c r="R23" i="29"/>
  <c r="R24" i="29"/>
  <c r="B27" i="36" l="1"/>
  <c r="B25" i="34"/>
  <c r="B18" i="33"/>
  <c r="E39" i="33"/>
  <c r="D39" i="33"/>
  <c r="B28" i="36" l="1"/>
  <c r="D57" i="36"/>
  <c r="D58" i="36" s="1"/>
  <c r="B26" i="34"/>
  <c r="D54" i="34"/>
  <c r="D55" i="34" s="1"/>
  <c r="D40" i="33"/>
  <c r="E40" i="33"/>
  <c r="B19" i="33"/>
  <c r="B29" i="36" l="1"/>
  <c r="B27" i="34"/>
  <c r="D41" i="33"/>
  <c r="B20" i="33"/>
  <c r="E41" i="33"/>
  <c r="C10" i="11"/>
  <c r="E10" i="11"/>
  <c r="B13" i="11"/>
  <c r="B31" i="36" l="1"/>
  <c r="I58" i="36"/>
  <c r="D59" i="36"/>
  <c r="D60" i="36" s="1"/>
  <c r="B28" i="34"/>
  <c r="D56" i="34"/>
  <c r="D57" i="34" s="1"/>
  <c r="D42" i="33"/>
  <c r="E42" i="33"/>
  <c r="B21" i="33"/>
  <c r="R25" i="29"/>
  <c r="G19" i="29"/>
  <c r="H19" i="29" s="1"/>
  <c r="I19" i="29" s="1"/>
  <c r="J19" i="29" s="1"/>
  <c r="K19" i="29" s="1"/>
  <c r="L19" i="29" s="1"/>
  <c r="M19" i="29" s="1"/>
  <c r="N19" i="29" s="1"/>
  <c r="O19" i="29" s="1"/>
  <c r="P19" i="29" s="1"/>
  <c r="Q19" i="29" s="1"/>
  <c r="R19" i="29" s="1"/>
  <c r="G18" i="29"/>
  <c r="H18" i="29" s="1"/>
  <c r="I18" i="29" s="1"/>
  <c r="J18" i="29" s="1"/>
  <c r="K18" i="29" s="1"/>
  <c r="L18" i="29" s="1"/>
  <c r="M18" i="29" s="1"/>
  <c r="N18" i="29" s="1"/>
  <c r="O18" i="29" s="1"/>
  <c r="P18" i="29" s="1"/>
  <c r="Q18" i="29" s="1"/>
  <c r="R18" i="29" s="1"/>
  <c r="N7" i="36" l="1"/>
  <c r="J33" i="6" s="1"/>
  <c r="D61" i="36"/>
  <c r="D62" i="36" s="1"/>
  <c r="D63" i="36" s="1"/>
  <c r="D64" i="36" s="1"/>
  <c r="D65" i="36" s="1"/>
  <c r="D66" i="36" s="1"/>
  <c r="D67" i="36" s="1"/>
  <c r="D68" i="36" s="1"/>
  <c r="D69" i="36" s="1"/>
  <c r="D70" i="36" s="1"/>
  <c r="D71" i="36" s="1"/>
  <c r="D72" i="36" s="1"/>
  <c r="D73" i="36" s="1"/>
  <c r="D74" i="36" s="1"/>
  <c r="D75" i="36" s="1"/>
  <c r="D76" i="36" s="1"/>
  <c r="D77" i="36" s="1"/>
  <c r="D78" i="36" s="1"/>
  <c r="D79" i="36" s="1"/>
  <c r="D80" i="36" s="1"/>
  <c r="D81" i="36" s="1"/>
  <c r="D82" i="36" s="1"/>
  <c r="D83" i="36" s="1"/>
  <c r="D84" i="36" s="1"/>
  <c r="D85" i="36" s="1"/>
  <c r="D86" i="36" s="1"/>
  <c r="D87" i="36" s="1"/>
  <c r="D88" i="36" s="1"/>
  <c r="D89" i="36" s="1"/>
  <c r="D90" i="36" s="1"/>
  <c r="D91" i="36" s="1"/>
  <c r="D92" i="36" s="1"/>
  <c r="D93" i="36" s="1"/>
  <c r="D94" i="36" s="1"/>
  <c r="D95" i="36" s="1"/>
  <c r="D96" i="36" s="1"/>
  <c r="D97" i="36" s="1"/>
  <c r="D98" i="36" s="1"/>
  <c r="D99" i="36" s="1"/>
  <c r="D100" i="36" s="1"/>
  <c r="D101" i="36" s="1"/>
  <c r="D102" i="36" s="1"/>
  <c r="D103" i="36" s="1"/>
  <c r="D104" i="36" s="1"/>
  <c r="D105" i="36" s="1"/>
  <c r="D106" i="36" s="1"/>
  <c r="D107" i="36" s="1"/>
  <c r="D108" i="36" s="1"/>
  <c r="D109" i="36" s="1"/>
  <c r="D110" i="36" s="1"/>
  <c r="D111" i="36" s="1"/>
  <c r="D112" i="36" s="1"/>
  <c r="D113" i="36" s="1"/>
  <c r="D114" i="36" s="1"/>
  <c r="D115" i="36" s="1"/>
  <c r="D116" i="36" s="1"/>
  <c r="D117" i="36" s="1"/>
  <c r="D118" i="36" s="1"/>
  <c r="D119" i="36" s="1"/>
  <c r="D120" i="36" s="1"/>
  <c r="D121" i="36" s="1"/>
  <c r="D122" i="36" s="1"/>
  <c r="D123" i="36" s="1"/>
  <c r="D124" i="36" s="1"/>
  <c r="D125" i="36" s="1"/>
  <c r="D126" i="36" s="1"/>
  <c r="D127" i="36" s="1"/>
  <c r="D128" i="36" s="1"/>
  <c r="D129" i="36" s="1"/>
  <c r="D130" i="36" s="1"/>
  <c r="D131" i="36" s="1"/>
  <c r="D132" i="36" s="1"/>
  <c r="D133" i="36" s="1"/>
  <c r="D134" i="36" s="1"/>
  <c r="D135" i="36" s="1"/>
  <c r="D136" i="36" s="1"/>
  <c r="D137" i="36" s="1"/>
  <c r="D138" i="36" s="1"/>
  <c r="D139" i="36" s="1"/>
  <c r="D140" i="36" s="1"/>
  <c r="D141" i="36" s="1"/>
  <c r="D142" i="36" s="1"/>
  <c r="D143" i="36" s="1"/>
  <c r="D144" i="36" s="1"/>
  <c r="D145" i="36" s="1"/>
  <c r="D146" i="36" s="1"/>
  <c r="D147" i="36" s="1"/>
  <c r="D148" i="36" s="1"/>
  <c r="D149" i="36" s="1"/>
  <c r="D150" i="36" s="1"/>
  <c r="D151" i="36" s="1"/>
  <c r="D152" i="36" s="1"/>
  <c r="D153" i="36" s="1"/>
  <c r="D154" i="36" s="1"/>
  <c r="D155" i="36" s="1"/>
  <c r="D156" i="36" s="1"/>
  <c r="M7" i="36"/>
  <c r="B32" i="36"/>
  <c r="I56" i="34"/>
  <c r="B29" i="34"/>
  <c r="Q23" i="29"/>
  <c r="D43" i="33"/>
  <c r="B22" i="33"/>
  <c r="E43" i="33"/>
  <c r="E34" i="28"/>
  <c r="D5" i="28"/>
  <c r="E6" i="27"/>
  <c r="E6" i="24"/>
  <c r="D8" i="22"/>
  <c r="D157" i="36" l="1"/>
  <c r="J23" i="17"/>
  <c r="X7" i="36"/>
  <c r="I159" i="36"/>
  <c r="D5" i="33"/>
  <c r="D4" i="33" s="1"/>
  <c r="D5" i="34"/>
  <c r="D5" i="36"/>
  <c r="D4" i="36" s="1"/>
  <c r="F157" i="36" s="1"/>
  <c r="G157" i="36" s="1"/>
  <c r="B33" i="36"/>
  <c r="B30" i="34"/>
  <c r="M7" i="34"/>
  <c r="I68" i="34"/>
  <c r="N7" i="34" s="1"/>
  <c r="D58" i="34"/>
  <c r="D59" i="34" s="1"/>
  <c r="D60" i="34" s="1"/>
  <c r="D61" i="34" s="1"/>
  <c r="D62" i="34" s="1"/>
  <c r="D63" i="34" s="1"/>
  <c r="D64" i="34" s="1"/>
  <c r="D65" i="34" s="1"/>
  <c r="D66" i="34" s="1"/>
  <c r="D67" i="34" s="1"/>
  <c r="D68" i="34" s="1"/>
  <c r="D69" i="34" s="1"/>
  <c r="D70" i="34" s="1"/>
  <c r="D71" i="34" s="1"/>
  <c r="D72" i="34" s="1"/>
  <c r="D73" i="34" s="1"/>
  <c r="D74" i="34" s="1"/>
  <c r="D75" i="34" s="1"/>
  <c r="D76" i="34" s="1"/>
  <c r="D77" i="34" s="1"/>
  <c r="D78" i="34" s="1"/>
  <c r="D79" i="34" s="1"/>
  <c r="D80" i="34" s="1"/>
  <c r="D81" i="34" s="1"/>
  <c r="D82" i="34" s="1"/>
  <c r="D83" i="34" s="1"/>
  <c r="D84" i="34" s="1"/>
  <c r="D85" i="34" s="1"/>
  <c r="D86" i="34" s="1"/>
  <c r="D87" i="34" s="1"/>
  <c r="D88" i="34" s="1"/>
  <c r="D89" i="34" s="1"/>
  <c r="D90" i="34" s="1"/>
  <c r="D91" i="34" s="1"/>
  <c r="D92" i="34" s="1"/>
  <c r="D93" i="34" s="1"/>
  <c r="D94" i="34" s="1"/>
  <c r="D95" i="34" s="1"/>
  <c r="D96" i="34" s="1"/>
  <c r="D97" i="34" s="1"/>
  <c r="D98" i="34" s="1"/>
  <c r="D99" i="34" s="1"/>
  <c r="D100" i="34" s="1"/>
  <c r="D101" i="34" s="1"/>
  <c r="D102" i="34" s="1"/>
  <c r="D103" i="34" s="1"/>
  <c r="D104" i="34" s="1"/>
  <c r="D105" i="34" s="1"/>
  <c r="D106" i="34" s="1"/>
  <c r="D107" i="34" s="1"/>
  <c r="D108" i="34" s="1"/>
  <c r="D109" i="34" s="1"/>
  <c r="D110" i="34" s="1"/>
  <c r="D111" i="34" s="1"/>
  <c r="D112" i="34" s="1"/>
  <c r="D113" i="34" s="1"/>
  <c r="D114" i="34" s="1"/>
  <c r="D115" i="34" s="1"/>
  <c r="D116" i="34" s="1"/>
  <c r="D117" i="34" s="1"/>
  <c r="D118" i="34" s="1"/>
  <c r="D119" i="34" s="1"/>
  <c r="D120" i="34" s="1"/>
  <c r="D121" i="34" s="1"/>
  <c r="D122" i="34" s="1"/>
  <c r="D123" i="34" s="1"/>
  <c r="D124" i="34" s="1"/>
  <c r="D125" i="34" s="1"/>
  <c r="D126" i="34" s="1"/>
  <c r="D127" i="34" s="1"/>
  <c r="D128" i="34" s="1"/>
  <c r="D129" i="34" s="1"/>
  <c r="D130" i="34" s="1"/>
  <c r="D131" i="34" s="1"/>
  <c r="D132" i="34" s="1"/>
  <c r="D133" i="34" s="1"/>
  <c r="B23" i="33"/>
  <c r="F22" i="33"/>
  <c r="G22" i="33" s="1"/>
  <c r="E44" i="33"/>
  <c r="I44" i="33" s="1"/>
  <c r="D44" i="33"/>
  <c r="C154" i="28"/>
  <c r="E35" i="28"/>
  <c r="I26" i="28"/>
  <c r="I14" i="28"/>
  <c r="K7" i="28" s="1"/>
  <c r="G12" i="28"/>
  <c r="D12" i="28"/>
  <c r="D13" i="28" s="1"/>
  <c r="D14" i="28" s="1"/>
  <c r="A11" i="28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B10" i="28"/>
  <c r="B11" i="28" s="1"/>
  <c r="B12" i="28" s="1"/>
  <c r="B13" i="28" s="1"/>
  <c r="L7" i="28"/>
  <c r="L6" i="28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D4" i="28"/>
  <c r="K2" i="28"/>
  <c r="E214" i="27"/>
  <c r="C214" i="27"/>
  <c r="C213" i="27"/>
  <c r="C212" i="27"/>
  <c r="C211" i="27"/>
  <c r="E210" i="27"/>
  <c r="E211" i="27" s="1"/>
  <c r="E212" i="27" s="1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E198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E175" i="27"/>
  <c r="C175" i="27"/>
  <c r="E174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E138" i="27"/>
  <c r="E139" i="27" s="1"/>
  <c r="E126" i="27"/>
  <c r="E102" i="27"/>
  <c r="E74" i="27"/>
  <c r="A72" i="27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E63" i="27"/>
  <c r="E64" i="27" s="1"/>
  <c r="D63" i="27"/>
  <c r="E61" i="27"/>
  <c r="L64" i="27" s="1"/>
  <c r="R24" i="27" s="1"/>
  <c r="D59" i="27"/>
  <c r="A49" i="27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44" i="27"/>
  <c r="A45" i="27" s="1"/>
  <c r="A46" i="27" s="1"/>
  <c r="A47" i="27" s="1"/>
  <c r="E37" i="27"/>
  <c r="E38" i="27" s="1"/>
  <c r="E39" i="27" s="1"/>
  <c r="L28" i="27"/>
  <c r="O24" i="27" s="1"/>
  <c r="C28" i="27"/>
  <c r="AA25" i="27"/>
  <c r="AA24" i="27"/>
  <c r="Q23" i="27"/>
  <c r="R23" i="27" s="1"/>
  <c r="S23" i="27" s="1"/>
  <c r="T23" i="27" s="1"/>
  <c r="U23" i="27" s="1"/>
  <c r="V23" i="27" s="1"/>
  <c r="W23" i="27" s="1"/>
  <c r="X23" i="27" s="1"/>
  <c r="Y23" i="27" s="1"/>
  <c r="Z23" i="27" s="1"/>
  <c r="AA23" i="27" s="1"/>
  <c r="P23" i="27"/>
  <c r="I19" i="27"/>
  <c r="K19" i="27" s="1"/>
  <c r="F19" i="27"/>
  <c r="F20" i="27" s="1"/>
  <c r="F21" i="27" s="1"/>
  <c r="F22" i="27" s="1"/>
  <c r="F23" i="27" s="1"/>
  <c r="F24" i="27" s="1"/>
  <c r="F25" i="27" s="1"/>
  <c r="F26" i="27" s="1"/>
  <c r="F27" i="27" s="1"/>
  <c r="F28" i="27" s="1"/>
  <c r="F29" i="27" s="1"/>
  <c r="F30" i="27" s="1"/>
  <c r="F31" i="27" s="1"/>
  <c r="F32" i="27" s="1"/>
  <c r="F33" i="27" s="1"/>
  <c r="F34" i="27" s="1"/>
  <c r="F35" i="27" s="1"/>
  <c r="F36" i="27" s="1"/>
  <c r="F37" i="27" s="1"/>
  <c r="B18" i="27"/>
  <c r="C17" i="27" s="1"/>
  <c r="O13" i="27"/>
  <c r="P13" i="27" s="1"/>
  <c r="Q13" i="27" s="1"/>
  <c r="R13" i="27" s="1"/>
  <c r="S13" i="27" s="1"/>
  <c r="T13" i="27" s="1"/>
  <c r="U13" i="27" s="1"/>
  <c r="V13" i="27" s="1"/>
  <c r="W13" i="27" s="1"/>
  <c r="X13" i="27" s="1"/>
  <c r="Y13" i="27" s="1"/>
  <c r="Z13" i="27" s="1"/>
  <c r="E8" i="27"/>
  <c r="E4" i="27"/>
  <c r="M3" i="27" s="1"/>
  <c r="F29" i="34" l="1"/>
  <c r="G29" i="34" s="1"/>
  <c r="F28" i="34"/>
  <c r="F21" i="36"/>
  <c r="G21" i="36" s="1"/>
  <c r="F22" i="36"/>
  <c r="G22" i="36" s="1"/>
  <c r="F29" i="36"/>
  <c r="G29" i="36" s="1"/>
  <c r="F30" i="36"/>
  <c r="F31" i="36"/>
  <c r="F32" i="36"/>
  <c r="G32" i="36" s="1"/>
  <c r="I23" i="17"/>
  <c r="F11" i="36"/>
  <c r="G11" i="36" s="1"/>
  <c r="F10" i="36"/>
  <c r="F12" i="36"/>
  <c r="G12" i="36" s="1"/>
  <c r="F14" i="36"/>
  <c r="F15" i="36"/>
  <c r="G15" i="36" s="1"/>
  <c r="F16" i="36"/>
  <c r="G16" i="36" s="1"/>
  <c r="F17" i="36"/>
  <c r="G17" i="36" s="1"/>
  <c r="F18" i="36"/>
  <c r="G18" i="36" s="1"/>
  <c r="F19" i="36"/>
  <c r="G19" i="36" s="1"/>
  <c r="F23" i="36"/>
  <c r="G23" i="36" s="1"/>
  <c r="F24" i="36"/>
  <c r="G24" i="36" s="1"/>
  <c r="F25" i="36"/>
  <c r="G25" i="36" s="1"/>
  <c r="F26" i="36"/>
  <c r="G26" i="36" s="1"/>
  <c r="F27" i="36"/>
  <c r="G27" i="36" s="1"/>
  <c r="F28" i="36"/>
  <c r="G28" i="36" s="1"/>
  <c r="G31" i="36"/>
  <c r="F10" i="34"/>
  <c r="F11" i="34"/>
  <c r="G11" i="34" s="1"/>
  <c r="F12" i="34"/>
  <c r="G12" i="34" s="1"/>
  <c r="F14" i="34"/>
  <c r="F15" i="34"/>
  <c r="G15" i="34" s="1"/>
  <c r="F16" i="34"/>
  <c r="G16" i="34" s="1"/>
  <c r="F17" i="34"/>
  <c r="G17" i="34" s="1"/>
  <c r="F18" i="34"/>
  <c r="G18" i="34" s="1"/>
  <c r="F19" i="34"/>
  <c r="G19" i="34" s="1"/>
  <c r="F20" i="34"/>
  <c r="G20" i="34" s="1"/>
  <c r="F21" i="34"/>
  <c r="G21" i="34" s="1"/>
  <c r="F22" i="34"/>
  <c r="G22" i="34" s="1"/>
  <c r="F23" i="34"/>
  <c r="G23" i="34" s="1"/>
  <c r="F24" i="34"/>
  <c r="G24" i="34" s="1"/>
  <c r="F25" i="34"/>
  <c r="G25" i="34" s="1"/>
  <c r="F26" i="34"/>
  <c r="G26" i="34" s="1"/>
  <c r="F27" i="34"/>
  <c r="G27" i="34" s="1"/>
  <c r="G28" i="34"/>
  <c r="F158" i="33"/>
  <c r="G158" i="33" s="1"/>
  <c r="F157" i="33"/>
  <c r="G157" i="33" s="1"/>
  <c r="F10" i="33"/>
  <c r="G10" i="33" s="1"/>
  <c r="F11" i="33"/>
  <c r="G11" i="33" s="1"/>
  <c r="F12" i="33"/>
  <c r="G12" i="33" s="1"/>
  <c r="F14" i="33"/>
  <c r="G14" i="33" s="1"/>
  <c r="F15" i="33"/>
  <c r="G15" i="33" s="1"/>
  <c r="F16" i="33"/>
  <c r="G16" i="33" s="1"/>
  <c r="F17" i="33"/>
  <c r="G17" i="33" s="1"/>
  <c r="F18" i="33"/>
  <c r="G18" i="33" s="1"/>
  <c r="F19" i="33"/>
  <c r="G19" i="33" s="1"/>
  <c r="F20" i="33"/>
  <c r="F21" i="33"/>
  <c r="G21" i="33" s="1"/>
  <c r="B34" i="36"/>
  <c r="F33" i="36"/>
  <c r="G33" i="36" s="1"/>
  <c r="I135" i="34"/>
  <c r="X7" i="34"/>
  <c r="B31" i="34"/>
  <c r="F30" i="34"/>
  <c r="G30" i="34" s="1"/>
  <c r="E50" i="2"/>
  <c r="E213" i="27"/>
  <c r="L214" i="27" s="1"/>
  <c r="Z65" i="27" s="1"/>
  <c r="N16" i="6" s="1"/>
  <c r="F38" i="27"/>
  <c r="F39" i="27" s="1"/>
  <c r="F40" i="27" s="1"/>
  <c r="C15" i="20"/>
  <c r="D72" i="27"/>
  <c r="D15" i="28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E13" i="11"/>
  <c r="G13" i="11" s="1"/>
  <c r="D45" i="33"/>
  <c r="E45" i="33"/>
  <c r="F23" i="33"/>
  <c r="B24" i="33"/>
  <c r="B14" i="28"/>
  <c r="F13" i="28"/>
  <c r="E36" i="28"/>
  <c r="L40" i="27"/>
  <c r="P24" i="27" s="1"/>
  <c r="G18" i="27"/>
  <c r="E40" i="27"/>
  <c r="F41" i="27"/>
  <c r="B19" i="27"/>
  <c r="D215" i="27"/>
  <c r="F72" i="27"/>
  <c r="E75" i="27"/>
  <c r="E103" i="27"/>
  <c r="E127" i="27"/>
  <c r="E140" i="27"/>
  <c r="E176" i="27"/>
  <c r="E199" i="27"/>
  <c r="G14" i="36" l="1"/>
  <c r="F73" i="27"/>
  <c r="F74" i="27" s="1"/>
  <c r="F75" i="27" s="1"/>
  <c r="G14" i="34"/>
  <c r="G10" i="34"/>
  <c r="J20" i="34"/>
  <c r="E30" i="6" s="1"/>
  <c r="G10" i="36"/>
  <c r="J21" i="36"/>
  <c r="J20" i="33"/>
  <c r="J8" i="33" s="1"/>
  <c r="G20" i="33"/>
  <c r="F34" i="36"/>
  <c r="B35" i="36"/>
  <c r="F31" i="34"/>
  <c r="G31" i="34" s="1"/>
  <c r="B32" i="34"/>
  <c r="D30" i="28"/>
  <c r="D31" i="28" s="1"/>
  <c r="D32" i="28" s="1"/>
  <c r="D33" i="28" s="1"/>
  <c r="D34" i="28" s="1"/>
  <c r="D35" i="28" s="1"/>
  <c r="D36" i="28" s="1"/>
  <c r="D27" i="28"/>
  <c r="D28" i="28" s="1"/>
  <c r="D29" i="28" s="1"/>
  <c r="F76" i="27"/>
  <c r="L7" i="33"/>
  <c r="F25" i="6" s="1"/>
  <c r="D46" i="33"/>
  <c r="G23" i="33"/>
  <c r="E46" i="33"/>
  <c r="F24" i="33"/>
  <c r="G24" i="33" s="1"/>
  <c r="B25" i="33"/>
  <c r="B15" i="28"/>
  <c r="G14" i="28"/>
  <c r="E37" i="28"/>
  <c r="D37" i="28"/>
  <c r="D38" i="28" s="1"/>
  <c r="G13" i="28"/>
  <c r="E104" i="27"/>
  <c r="E128" i="27"/>
  <c r="E200" i="27"/>
  <c r="C18" i="27"/>
  <c r="B20" i="27"/>
  <c r="E41" i="27"/>
  <c r="E76" i="27"/>
  <c r="E177" i="27"/>
  <c r="E141" i="27"/>
  <c r="I18" i="27"/>
  <c r="K18" i="27" s="1"/>
  <c r="F77" i="27" l="1"/>
  <c r="J8" i="36"/>
  <c r="F34" i="6" s="1"/>
  <c r="E28" i="6"/>
  <c r="F35" i="36"/>
  <c r="B36" i="36"/>
  <c r="G34" i="36"/>
  <c r="J34" i="36"/>
  <c r="B33" i="34"/>
  <c r="F32" i="34"/>
  <c r="D47" i="33"/>
  <c r="F25" i="33"/>
  <c r="G25" i="33" s="1"/>
  <c r="B26" i="33"/>
  <c r="E47" i="33"/>
  <c r="J14" i="28"/>
  <c r="K8" i="28" s="1"/>
  <c r="E38" i="28"/>
  <c r="D39" i="28" s="1"/>
  <c r="B16" i="28"/>
  <c r="F15" i="28"/>
  <c r="B21" i="27"/>
  <c r="C19" i="27"/>
  <c r="G20" i="27"/>
  <c r="E129" i="27"/>
  <c r="E105" i="27"/>
  <c r="E142" i="27"/>
  <c r="E77" i="27"/>
  <c r="E42" i="27"/>
  <c r="E201" i="27"/>
  <c r="F42" i="27"/>
  <c r="F43" i="27" s="1"/>
  <c r="E178" i="27"/>
  <c r="L76" i="27"/>
  <c r="K8" i="36" l="1"/>
  <c r="G34" i="6" s="1"/>
  <c r="B37" i="36"/>
  <c r="F36" i="36"/>
  <c r="G36" i="36" s="1"/>
  <c r="G35" i="36"/>
  <c r="G32" i="34"/>
  <c r="J32" i="34"/>
  <c r="F33" i="34"/>
  <c r="B34" i="34"/>
  <c r="I38" i="28"/>
  <c r="M7" i="28" s="1"/>
  <c r="D48" i="33"/>
  <c r="E48" i="33"/>
  <c r="B27" i="33"/>
  <c r="F26" i="33"/>
  <c r="G15" i="28"/>
  <c r="F16" i="28"/>
  <c r="B17" i="28"/>
  <c r="E39" i="28"/>
  <c r="D40" i="28" s="1"/>
  <c r="E43" i="27"/>
  <c r="F44" i="27" s="1"/>
  <c r="E106" i="27"/>
  <c r="G21" i="27"/>
  <c r="I21" i="27" s="1"/>
  <c r="K21" i="27" s="1"/>
  <c r="C20" i="27"/>
  <c r="B22" i="27"/>
  <c r="I20" i="27"/>
  <c r="E179" i="27"/>
  <c r="E130" i="27"/>
  <c r="N65" i="27"/>
  <c r="S24" i="27"/>
  <c r="E202" i="27"/>
  <c r="E78" i="27"/>
  <c r="E143" i="27"/>
  <c r="F78" i="27"/>
  <c r="F79" i="27" s="1"/>
  <c r="T40" i="6"/>
  <c r="G32" i="6" l="1"/>
  <c r="B38" i="36"/>
  <c r="F37" i="36"/>
  <c r="B35" i="34"/>
  <c r="F34" i="34"/>
  <c r="G34" i="34" s="1"/>
  <c r="G33" i="34"/>
  <c r="F30" i="6"/>
  <c r="E16" i="20"/>
  <c r="G26" i="33"/>
  <c r="E49" i="33"/>
  <c r="F27" i="33"/>
  <c r="B28" i="33"/>
  <c r="D49" i="33"/>
  <c r="G16" i="28"/>
  <c r="E40" i="28"/>
  <c r="D41" i="28"/>
  <c r="F17" i="28"/>
  <c r="B18" i="28"/>
  <c r="E144" i="27"/>
  <c r="E180" i="27"/>
  <c r="G22" i="27"/>
  <c r="C21" i="27"/>
  <c r="B23" i="27"/>
  <c r="E203" i="27"/>
  <c r="E131" i="27"/>
  <c r="E107" i="27"/>
  <c r="E79" i="27"/>
  <c r="K20" i="27"/>
  <c r="E44" i="27"/>
  <c r="F28" i="6" l="1"/>
  <c r="G37" i="36"/>
  <c r="F38" i="36"/>
  <c r="G38" i="36" s="1"/>
  <c r="B39" i="36"/>
  <c r="B36" i="34"/>
  <c r="F35" i="34"/>
  <c r="E37" i="2"/>
  <c r="G27" i="33"/>
  <c r="D50" i="33"/>
  <c r="E50" i="33"/>
  <c r="F28" i="33"/>
  <c r="B29" i="33"/>
  <c r="G17" i="28"/>
  <c r="F18" i="28"/>
  <c r="B19" i="28"/>
  <c r="E41" i="28"/>
  <c r="D42" i="28" s="1"/>
  <c r="E108" i="27"/>
  <c r="E181" i="27"/>
  <c r="E204" i="27"/>
  <c r="E45" i="27"/>
  <c r="E80" i="27"/>
  <c r="E132" i="27"/>
  <c r="I22" i="27"/>
  <c r="F80" i="27"/>
  <c r="F81" i="27" s="1"/>
  <c r="F45" i="27"/>
  <c r="G23" i="27"/>
  <c r="I23" i="27" s="1"/>
  <c r="K23" i="27" s="1"/>
  <c r="C22" i="27"/>
  <c r="B24" i="27"/>
  <c r="E145" i="27"/>
  <c r="E20" i="29"/>
  <c r="E21" i="29" s="1"/>
  <c r="D20" i="29"/>
  <c r="D21" i="29" s="1"/>
  <c r="B40" i="36" l="1"/>
  <c r="F39" i="36"/>
  <c r="G39" i="36" s="1"/>
  <c r="B37" i="34"/>
  <c r="F36" i="34"/>
  <c r="G36" i="34" s="1"/>
  <c r="G35" i="34"/>
  <c r="F46" i="27"/>
  <c r="D51" i="33"/>
  <c r="G28" i="33"/>
  <c r="E51" i="33"/>
  <c r="F29" i="33"/>
  <c r="B30" i="33"/>
  <c r="G18" i="28"/>
  <c r="E42" i="28"/>
  <c r="D43" i="28"/>
  <c r="B20" i="28"/>
  <c r="F19" i="28"/>
  <c r="G19" i="28" s="1"/>
  <c r="B25" i="27"/>
  <c r="G24" i="27"/>
  <c r="I24" i="27" s="1"/>
  <c r="K24" i="27" s="1"/>
  <c r="C23" i="27"/>
  <c r="K22" i="27"/>
  <c r="E81" i="27"/>
  <c r="F82" i="27" s="1"/>
  <c r="E133" i="27"/>
  <c r="E205" i="27"/>
  <c r="E146" i="27"/>
  <c r="E46" i="27"/>
  <c r="F47" i="27" s="1"/>
  <c r="F48" i="27" s="1"/>
  <c r="F49" i="27" s="1"/>
  <c r="F50" i="27" s="1"/>
  <c r="F51" i="27" s="1"/>
  <c r="F52" i="27" s="1"/>
  <c r="F53" i="27" s="1"/>
  <c r="F54" i="27" s="1"/>
  <c r="F55" i="27" s="1"/>
  <c r="F56" i="27" s="1"/>
  <c r="F57" i="27" s="1"/>
  <c r="F58" i="27" s="1"/>
  <c r="F59" i="27" s="1"/>
  <c r="F60" i="27" s="1"/>
  <c r="F61" i="27" s="1"/>
  <c r="F62" i="27" s="1"/>
  <c r="F63" i="27" s="1"/>
  <c r="F64" i="27" s="1"/>
  <c r="E182" i="27"/>
  <c r="E109" i="27"/>
  <c r="F40" i="36" l="1"/>
  <c r="G40" i="36" s="1"/>
  <c r="B41" i="36"/>
  <c r="F37" i="34"/>
  <c r="B38" i="34"/>
  <c r="G29" i="33"/>
  <c r="D52" i="33"/>
  <c r="F30" i="33"/>
  <c r="G30" i="33" s="1"/>
  <c r="B31" i="33"/>
  <c r="E52" i="33"/>
  <c r="F20" i="28"/>
  <c r="B21" i="28"/>
  <c r="E43" i="28"/>
  <c r="D44" i="28" s="1"/>
  <c r="E110" i="27"/>
  <c r="E147" i="27"/>
  <c r="E183" i="27"/>
  <c r="E206" i="27"/>
  <c r="L52" i="27"/>
  <c r="Q24" i="27" s="1"/>
  <c r="E134" i="27"/>
  <c r="E82" i="27"/>
  <c r="F83" i="27" s="1"/>
  <c r="G25" i="27"/>
  <c r="I25" i="27" s="1"/>
  <c r="C24" i="27"/>
  <c r="B26" i="27"/>
  <c r="F41" i="36" l="1"/>
  <c r="B42" i="36"/>
  <c r="B39" i="34"/>
  <c r="F38" i="34"/>
  <c r="G38" i="34" s="1"/>
  <c r="G37" i="34"/>
  <c r="D53" i="33"/>
  <c r="E53" i="33"/>
  <c r="F31" i="33"/>
  <c r="G31" i="33" s="1"/>
  <c r="B32" i="33"/>
  <c r="E44" i="28"/>
  <c r="D45" i="28"/>
  <c r="F21" i="28"/>
  <c r="B22" i="28"/>
  <c r="G20" i="28"/>
  <c r="E83" i="27"/>
  <c r="E135" i="27"/>
  <c r="E184" i="27"/>
  <c r="E148" i="27"/>
  <c r="F84" i="27"/>
  <c r="G26" i="27"/>
  <c r="I26" i="27" s="1"/>
  <c r="K26" i="27" s="1"/>
  <c r="B27" i="27"/>
  <c r="C25" i="27"/>
  <c r="E207" i="27"/>
  <c r="E111" i="27"/>
  <c r="B43" i="36" l="1"/>
  <c r="F42" i="36"/>
  <c r="G42" i="36" s="1"/>
  <c r="G41" i="36"/>
  <c r="F39" i="34"/>
  <c r="B40" i="34"/>
  <c r="D54" i="33"/>
  <c r="F32" i="33"/>
  <c r="B33" i="33"/>
  <c r="E54" i="33"/>
  <c r="G21" i="28"/>
  <c r="F22" i="28"/>
  <c r="B23" i="28"/>
  <c r="E45" i="28"/>
  <c r="E112" i="27"/>
  <c r="G27" i="27"/>
  <c r="I27" i="27" s="1"/>
  <c r="K27" i="27" s="1"/>
  <c r="C26" i="27"/>
  <c r="B28" i="27"/>
  <c r="E149" i="27"/>
  <c r="L148" i="27"/>
  <c r="E136" i="27"/>
  <c r="E208" i="27"/>
  <c r="E185" i="27"/>
  <c r="L184" i="27"/>
  <c r="W65" i="27" s="1"/>
  <c r="K16" i="6" s="1"/>
  <c r="E84" i="27"/>
  <c r="B44" i="36" l="1"/>
  <c r="F43" i="36"/>
  <c r="G43" i="36" s="1"/>
  <c r="F40" i="34"/>
  <c r="G40" i="34" s="1"/>
  <c r="B41" i="34"/>
  <c r="G39" i="34"/>
  <c r="D55" i="33"/>
  <c r="F33" i="33"/>
  <c r="B34" i="33"/>
  <c r="E55" i="33"/>
  <c r="G32" i="33"/>
  <c r="J32" i="33"/>
  <c r="E46" i="28"/>
  <c r="G22" i="28"/>
  <c r="B24" i="28"/>
  <c r="F23" i="28"/>
  <c r="G23" i="28" s="1"/>
  <c r="D46" i="28"/>
  <c r="D47" i="28" s="1"/>
  <c r="G28" i="27"/>
  <c r="C27" i="27"/>
  <c r="B29" i="27"/>
  <c r="E113" i="27"/>
  <c r="L112" i="27"/>
  <c r="G15" i="20" s="1"/>
  <c r="T65" i="27"/>
  <c r="H16" i="6" s="1"/>
  <c r="Y24" i="27"/>
  <c r="E85" i="27"/>
  <c r="F85" i="27"/>
  <c r="F86" i="27" s="1"/>
  <c r="L136" i="27"/>
  <c r="E186" i="27"/>
  <c r="L208" i="27"/>
  <c r="E150" i="27"/>
  <c r="B45" i="36" l="1"/>
  <c r="F44" i="36"/>
  <c r="G44" i="36" s="1"/>
  <c r="B42" i="34"/>
  <c r="F41" i="34"/>
  <c r="K8" i="33"/>
  <c r="D56" i="33"/>
  <c r="F34" i="33"/>
  <c r="G34" i="33" s="1"/>
  <c r="B35" i="33"/>
  <c r="E56" i="33"/>
  <c r="E57" i="33" s="1"/>
  <c r="E58" i="33" s="1"/>
  <c r="G33" i="33"/>
  <c r="D48" i="28"/>
  <c r="E47" i="28"/>
  <c r="F24" i="28"/>
  <c r="B25" i="28"/>
  <c r="Y65" i="27"/>
  <c r="M16" i="6" s="1"/>
  <c r="E187" i="27"/>
  <c r="E114" i="27"/>
  <c r="G29" i="27"/>
  <c r="B30" i="27"/>
  <c r="E151" i="27"/>
  <c r="V24" i="27"/>
  <c r="Q65" i="27"/>
  <c r="E16" i="6" s="1"/>
  <c r="S65" i="27"/>
  <c r="G16" i="6" s="1"/>
  <c r="X24" i="27"/>
  <c r="E86" i="27"/>
  <c r="F87" i="27" s="1"/>
  <c r="I28" i="27"/>
  <c r="K28" i="27" s="1"/>
  <c r="M28" i="27"/>
  <c r="O25" i="27" s="1"/>
  <c r="F45" i="36" l="1"/>
  <c r="G45" i="36" s="1"/>
  <c r="B46" i="36"/>
  <c r="G41" i="34"/>
  <c r="F42" i="34"/>
  <c r="G42" i="34" s="1"/>
  <c r="B43" i="34"/>
  <c r="E26" i="6"/>
  <c r="F35" i="33"/>
  <c r="B36" i="33"/>
  <c r="I56" i="33"/>
  <c r="D57" i="33"/>
  <c r="G24" i="28"/>
  <c r="F25" i="28"/>
  <c r="B26" i="28"/>
  <c r="E48" i="28"/>
  <c r="D49" i="28" s="1"/>
  <c r="E188" i="27"/>
  <c r="B31" i="27"/>
  <c r="C29" i="27"/>
  <c r="G30" i="27"/>
  <c r="I30" i="27" s="1"/>
  <c r="K30" i="27" s="1"/>
  <c r="E115" i="27"/>
  <c r="E87" i="27"/>
  <c r="E152" i="27"/>
  <c r="I29" i="27"/>
  <c r="F46" i="36" l="1"/>
  <c r="B47" i="36"/>
  <c r="B44" i="34"/>
  <c r="F43" i="34"/>
  <c r="G43" i="34" s="1"/>
  <c r="E24" i="6"/>
  <c r="M7" i="33"/>
  <c r="G25" i="6" s="1"/>
  <c r="D58" i="33"/>
  <c r="F36" i="33"/>
  <c r="G36" i="33" s="1"/>
  <c r="B37" i="33"/>
  <c r="G35" i="33"/>
  <c r="G25" i="28"/>
  <c r="E49" i="28"/>
  <c r="F26" i="28"/>
  <c r="I13" i="11" s="1"/>
  <c r="B27" i="28"/>
  <c r="E153" i="27"/>
  <c r="E116" i="27"/>
  <c r="E88" i="27"/>
  <c r="H12" i="11" s="1"/>
  <c r="E189" i="27"/>
  <c r="G31" i="27"/>
  <c r="C30" i="27"/>
  <c r="B32" i="27"/>
  <c r="F88" i="27"/>
  <c r="B48" i="36" l="1"/>
  <c r="F47" i="36"/>
  <c r="G46" i="36"/>
  <c r="J46" i="36"/>
  <c r="B45" i="34"/>
  <c r="F44" i="34"/>
  <c r="F89" i="27"/>
  <c r="D59" i="33"/>
  <c r="F37" i="33"/>
  <c r="G37" i="33" s="1"/>
  <c r="B38" i="33"/>
  <c r="G26" i="28"/>
  <c r="J26" i="28"/>
  <c r="E50" i="28"/>
  <c r="F27" i="28"/>
  <c r="B28" i="28"/>
  <c r="D50" i="28"/>
  <c r="D51" i="28" s="1"/>
  <c r="I31" i="27"/>
  <c r="K31" i="27" s="1"/>
  <c r="E117" i="27"/>
  <c r="G32" i="27"/>
  <c r="I32" i="27" s="1"/>
  <c r="K32" i="27" s="1"/>
  <c r="C31" i="27"/>
  <c r="B33" i="27"/>
  <c r="E154" i="27"/>
  <c r="E89" i="27"/>
  <c r="L88" i="27"/>
  <c r="E190" i="27"/>
  <c r="Q64" i="22"/>
  <c r="L8" i="36" l="1"/>
  <c r="H34" i="6" s="1"/>
  <c r="G47" i="36"/>
  <c r="F48" i="36"/>
  <c r="G48" i="36" s="1"/>
  <c r="B49" i="36"/>
  <c r="G44" i="34"/>
  <c r="J44" i="34"/>
  <c r="F45" i="34"/>
  <c r="B46" i="34"/>
  <c r="E60" i="33"/>
  <c r="F38" i="33"/>
  <c r="G38" i="33" s="1"/>
  <c r="B39" i="33"/>
  <c r="D60" i="33"/>
  <c r="L8" i="28"/>
  <c r="F28" i="28"/>
  <c r="G28" i="28" s="1"/>
  <c r="B29" i="28"/>
  <c r="E51" i="28"/>
  <c r="D52" i="28" s="1"/>
  <c r="I50" i="28"/>
  <c r="N7" i="28" s="1"/>
  <c r="G27" i="28"/>
  <c r="E90" i="27"/>
  <c r="G33" i="27"/>
  <c r="I33" i="27" s="1"/>
  <c r="K33" i="27" s="1"/>
  <c r="C32" i="27"/>
  <c r="B34" i="27"/>
  <c r="E118" i="27"/>
  <c r="E191" i="27"/>
  <c r="F90" i="27"/>
  <c r="E155" i="27"/>
  <c r="O65" i="27"/>
  <c r="T24" i="27"/>
  <c r="B50" i="36" l="1"/>
  <c r="F49" i="36"/>
  <c r="G49" i="36" s="1"/>
  <c r="B47" i="34"/>
  <c r="F46" i="34"/>
  <c r="G46" i="34" s="1"/>
  <c r="G45" i="34"/>
  <c r="G30" i="6"/>
  <c r="G16" i="20"/>
  <c r="E20" i="6"/>
  <c r="D61" i="33"/>
  <c r="F39" i="33"/>
  <c r="B40" i="33"/>
  <c r="B30" i="28"/>
  <c r="F29" i="28"/>
  <c r="E52" i="28"/>
  <c r="E192" i="27"/>
  <c r="F91" i="27"/>
  <c r="E119" i="27"/>
  <c r="E91" i="27"/>
  <c r="E156" i="27"/>
  <c r="G34" i="27"/>
  <c r="C33" i="27"/>
  <c r="B35" i="27"/>
  <c r="E52" i="24"/>
  <c r="A53" i="24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D52" i="24"/>
  <c r="H32" i="6" l="1"/>
  <c r="G28" i="6"/>
  <c r="B51" i="36"/>
  <c r="F50" i="36"/>
  <c r="B48" i="34"/>
  <c r="F47" i="34"/>
  <c r="F92" i="27"/>
  <c r="F93" i="27" s="1"/>
  <c r="G39" i="33"/>
  <c r="E62" i="33"/>
  <c r="F40" i="33"/>
  <c r="G40" i="33" s="1"/>
  <c r="B41" i="33"/>
  <c r="D62" i="33"/>
  <c r="E53" i="28"/>
  <c r="G29" i="28"/>
  <c r="F30" i="28"/>
  <c r="G30" i="28" s="1"/>
  <c r="B31" i="28"/>
  <c r="D53" i="28"/>
  <c r="I34" i="27"/>
  <c r="K34" i="27" s="1"/>
  <c r="E157" i="27"/>
  <c r="G35" i="27"/>
  <c r="I35" i="27" s="1"/>
  <c r="K35" i="27" s="1"/>
  <c r="C34" i="27"/>
  <c r="B36" i="27"/>
  <c r="E193" i="27"/>
  <c r="E92" i="27"/>
  <c r="E120" i="27"/>
  <c r="G50" i="36" l="1"/>
  <c r="F51" i="36"/>
  <c r="G51" i="36" s="1"/>
  <c r="B52" i="36"/>
  <c r="G47" i="34"/>
  <c r="B49" i="34"/>
  <c r="F48" i="34"/>
  <c r="G48" i="34" s="1"/>
  <c r="D54" i="28"/>
  <c r="F41" i="33"/>
  <c r="G41" i="33" s="1"/>
  <c r="B42" i="33"/>
  <c r="D63" i="33"/>
  <c r="E63" i="33"/>
  <c r="F31" i="28"/>
  <c r="B32" i="28"/>
  <c r="E54" i="28"/>
  <c r="D55" i="28" s="1"/>
  <c r="B37" i="27"/>
  <c r="G36" i="27"/>
  <c r="I36" i="27" s="1"/>
  <c r="K36" i="27" s="1"/>
  <c r="C35" i="27"/>
  <c r="E158" i="27"/>
  <c r="E121" i="27"/>
  <c r="E93" i="27"/>
  <c r="F94" i="27" s="1"/>
  <c r="E194" i="27"/>
  <c r="B53" i="36" l="1"/>
  <c r="F52" i="36"/>
  <c r="G52" i="36" s="1"/>
  <c r="F49" i="34"/>
  <c r="G49" i="34" s="1"/>
  <c r="B50" i="34"/>
  <c r="D64" i="33"/>
  <c r="E64" i="33"/>
  <c r="F42" i="33"/>
  <c r="G42" i="33" s="1"/>
  <c r="B43" i="33"/>
  <c r="G31" i="28"/>
  <c r="E55" i="28"/>
  <c r="D56" i="28" s="1"/>
  <c r="F32" i="28"/>
  <c r="G32" i="28" s="1"/>
  <c r="B33" i="28"/>
  <c r="E195" i="27"/>
  <c r="G37" i="27"/>
  <c r="I37" i="27" s="1"/>
  <c r="K37" i="27" s="1"/>
  <c r="B38" i="27"/>
  <c r="C36" i="27"/>
  <c r="E159" i="27"/>
  <c r="E94" i="27"/>
  <c r="E122" i="27"/>
  <c r="D42" i="24"/>
  <c r="B54" i="36" l="1"/>
  <c r="F53" i="36"/>
  <c r="F50" i="34"/>
  <c r="B51" i="34"/>
  <c r="E65" i="33"/>
  <c r="F43" i="33"/>
  <c r="G43" i="33" s="1"/>
  <c r="B44" i="33"/>
  <c r="D65" i="33"/>
  <c r="F33" i="28"/>
  <c r="G33" i="28" s="1"/>
  <c r="B34" i="28"/>
  <c r="E56" i="28"/>
  <c r="D57" i="28" s="1"/>
  <c r="C37" i="27"/>
  <c r="G38" i="27"/>
  <c r="I38" i="27" s="1"/>
  <c r="K38" i="27" s="1"/>
  <c r="B39" i="27"/>
  <c r="E160" i="27"/>
  <c r="E123" i="27"/>
  <c r="E95" i="27"/>
  <c r="F95" i="27"/>
  <c r="F96" i="27" s="1"/>
  <c r="E196" i="27"/>
  <c r="Q43" i="24"/>
  <c r="Q44" i="24" s="1"/>
  <c r="D197" i="24"/>
  <c r="C11" i="11" s="1"/>
  <c r="G53" i="36" l="1"/>
  <c r="B55" i="36"/>
  <c r="F54" i="36"/>
  <c r="G54" i="36" s="1"/>
  <c r="B52" i="34"/>
  <c r="F51" i="34"/>
  <c r="G51" i="34" s="1"/>
  <c r="G50" i="34"/>
  <c r="D66" i="33"/>
  <c r="B45" i="33"/>
  <c r="F44" i="33"/>
  <c r="E66" i="33"/>
  <c r="E11" i="11"/>
  <c r="C15" i="11"/>
  <c r="C17" i="11" s="1"/>
  <c r="E57" i="28"/>
  <c r="F34" i="28"/>
  <c r="B35" i="28"/>
  <c r="L196" i="27"/>
  <c r="B40" i="27"/>
  <c r="C38" i="27"/>
  <c r="G39" i="27"/>
  <c r="I39" i="27" s="1"/>
  <c r="K39" i="27" s="1"/>
  <c r="E124" i="27"/>
  <c r="E96" i="27"/>
  <c r="F97" i="27" s="1"/>
  <c r="E161" i="27"/>
  <c r="L160" i="27"/>
  <c r="B56" i="36" l="1"/>
  <c r="F55" i="36"/>
  <c r="G55" i="36" s="1"/>
  <c r="B53" i="34"/>
  <c r="F52" i="34"/>
  <c r="G44" i="33"/>
  <c r="J44" i="33"/>
  <c r="E67" i="33"/>
  <c r="F45" i="33"/>
  <c r="B46" i="33"/>
  <c r="D67" i="33"/>
  <c r="E15" i="11"/>
  <c r="G34" i="28"/>
  <c r="E58" i="28"/>
  <c r="F35" i="28"/>
  <c r="G35" i="28" s="1"/>
  <c r="B36" i="28"/>
  <c r="D58" i="28"/>
  <c r="E162" i="27"/>
  <c r="L124" i="27"/>
  <c r="C39" i="27"/>
  <c r="B41" i="27"/>
  <c r="G40" i="27"/>
  <c r="X65" i="27"/>
  <c r="L16" i="6" s="1"/>
  <c r="E97" i="27"/>
  <c r="U65" i="27"/>
  <c r="I16" i="6" s="1"/>
  <c r="Z24" i="27"/>
  <c r="F56" i="36" l="1"/>
  <c r="G56" i="36" s="1"/>
  <c r="B57" i="36"/>
  <c r="G52" i="34"/>
  <c r="B54" i="34"/>
  <c r="F53" i="34"/>
  <c r="G53" i="34" s="1"/>
  <c r="L8" i="33"/>
  <c r="D68" i="33"/>
  <c r="E68" i="33"/>
  <c r="E69" i="33" s="1"/>
  <c r="E70" i="33" s="1"/>
  <c r="F46" i="33"/>
  <c r="G46" i="33" s="1"/>
  <c r="B47" i="33"/>
  <c r="G45" i="33"/>
  <c r="D59" i="28"/>
  <c r="E59" i="28"/>
  <c r="F36" i="28"/>
  <c r="G36" i="28" s="1"/>
  <c r="B37" i="28"/>
  <c r="B42" i="27"/>
  <c r="G41" i="27"/>
  <c r="C40" i="27"/>
  <c r="R65" i="27"/>
  <c r="W24" i="27"/>
  <c r="E163" i="27"/>
  <c r="E98" i="27"/>
  <c r="I40" i="27"/>
  <c r="K40" i="27" s="1"/>
  <c r="M40" i="27"/>
  <c r="P25" i="27" s="1"/>
  <c r="F98" i="27"/>
  <c r="F99" i="27" s="1"/>
  <c r="F57" i="36" l="1"/>
  <c r="G57" i="36" s="1"/>
  <c r="B58" i="36"/>
  <c r="B55" i="34"/>
  <c r="F54" i="34"/>
  <c r="G54" i="34" s="1"/>
  <c r="I15" i="20"/>
  <c r="F16" i="6"/>
  <c r="F26" i="6"/>
  <c r="I68" i="33"/>
  <c r="F47" i="33"/>
  <c r="G47" i="33" s="1"/>
  <c r="B48" i="33"/>
  <c r="D69" i="33"/>
  <c r="D70" i="33" s="1"/>
  <c r="E60" i="28"/>
  <c r="F37" i="28"/>
  <c r="G37" i="28" s="1"/>
  <c r="B38" i="28"/>
  <c r="D60" i="28"/>
  <c r="D61" i="28" s="1"/>
  <c r="E164" i="27"/>
  <c r="E99" i="27"/>
  <c r="I41" i="27"/>
  <c r="K41" i="27" s="1"/>
  <c r="G42" i="27"/>
  <c r="I42" i="27" s="1"/>
  <c r="K42" i="27" s="1"/>
  <c r="B43" i="27"/>
  <c r="C41" i="27"/>
  <c r="F58" i="36" l="1"/>
  <c r="B59" i="36"/>
  <c r="F55" i="34"/>
  <c r="G55" i="34" s="1"/>
  <c r="B56" i="34"/>
  <c r="F24" i="6"/>
  <c r="N7" i="33"/>
  <c r="H25" i="6" s="1"/>
  <c r="B49" i="33"/>
  <c r="F48" i="33"/>
  <c r="G48" i="33" s="1"/>
  <c r="F38" i="28"/>
  <c r="B39" i="28"/>
  <c r="E61" i="28"/>
  <c r="B44" i="27"/>
  <c r="G43" i="27"/>
  <c r="C42" i="27"/>
  <c r="E165" i="27"/>
  <c r="E100" i="27"/>
  <c r="F100" i="27"/>
  <c r="F101" i="27" s="1"/>
  <c r="F102" i="27" s="1"/>
  <c r="F103" i="27" s="1"/>
  <c r="F104" i="27" s="1"/>
  <c r="F105" i="27" s="1"/>
  <c r="F106" i="27" s="1"/>
  <c r="F107" i="27" s="1"/>
  <c r="F108" i="27" s="1"/>
  <c r="F109" i="27" s="1"/>
  <c r="F110" i="27" s="1"/>
  <c r="F111" i="27" s="1"/>
  <c r="F112" i="27" s="1"/>
  <c r="F113" i="27" s="1"/>
  <c r="F114" i="27" s="1"/>
  <c r="F115" i="27" s="1"/>
  <c r="F116" i="27" s="1"/>
  <c r="F117" i="27" s="1"/>
  <c r="F118" i="27" s="1"/>
  <c r="F119" i="27" s="1"/>
  <c r="F120" i="27" s="1"/>
  <c r="F121" i="27" s="1"/>
  <c r="F122" i="27" s="1"/>
  <c r="F123" i="27" s="1"/>
  <c r="F124" i="27" s="1"/>
  <c r="F125" i="27" s="1"/>
  <c r="F126" i="27" s="1"/>
  <c r="F127" i="27" s="1"/>
  <c r="F128" i="27" s="1"/>
  <c r="F129" i="27" s="1"/>
  <c r="F130" i="27" s="1"/>
  <c r="F131" i="27" s="1"/>
  <c r="F132" i="27" s="1"/>
  <c r="F133" i="27" s="1"/>
  <c r="F134" i="27" s="1"/>
  <c r="F135" i="27" s="1"/>
  <c r="F136" i="27" s="1"/>
  <c r="F137" i="27" s="1"/>
  <c r="F138" i="27" s="1"/>
  <c r="F139" i="27" s="1"/>
  <c r="F140" i="27" s="1"/>
  <c r="F141" i="27" s="1"/>
  <c r="F142" i="27" s="1"/>
  <c r="F143" i="27" s="1"/>
  <c r="F144" i="27" s="1"/>
  <c r="F145" i="27" s="1"/>
  <c r="F146" i="27" s="1"/>
  <c r="F147" i="27" s="1"/>
  <c r="F148" i="27" s="1"/>
  <c r="F149" i="27" s="1"/>
  <c r="F150" i="27" s="1"/>
  <c r="F151" i="27" s="1"/>
  <c r="F152" i="27" s="1"/>
  <c r="F153" i="27" s="1"/>
  <c r="F154" i="27" s="1"/>
  <c r="F155" i="27" s="1"/>
  <c r="F156" i="27" s="1"/>
  <c r="F157" i="27" s="1"/>
  <c r="F158" i="27" s="1"/>
  <c r="F159" i="27" s="1"/>
  <c r="F160" i="27" s="1"/>
  <c r="F161" i="27" s="1"/>
  <c r="F162" i="27" s="1"/>
  <c r="F163" i="27" s="1"/>
  <c r="F164" i="27" s="1"/>
  <c r="F165" i="27" s="1"/>
  <c r="F166" i="27" s="1"/>
  <c r="B60" i="36" l="1"/>
  <c r="F59" i="36"/>
  <c r="G58" i="36"/>
  <c r="J58" i="36"/>
  <c r="F56" i="34"/>
  <c r="B57" i="34"/>
  <c r="F49" i="33"/>
  <c r="G49" i="33" s="1"/>
  <c r="B50" i="33"/>
  <c r="D71" i="33"/>
  <c r="C20" i="29"/>
  <c r="E62" i="28"/>
  <c r="D62" i="28"/>
  <c r="D63" i="28" s="1"/>
  <c r="F39" i="28"/>
  <c r="B40" i="28"/>
  <c r="G38" i="28"/>
  <c r="J38" i="28"/>
  <c r="E166" i="27"/>
  <c r="L100" i="27"/>
  <c r="E15" i="20" s="1"/>
  <c r="I43" i="27"/>
  <c r="K43" i="27" s="1"/>
  <c r="C43" i="27"/>
  <c r="B45" i="27"/>
  <c r="G44" i="27"/>
  <c r="I44" i="27" s="1"/>
  <c r="K44" i="27" s="1"/>
  <c r="G59" i="36" l="1"/>
  <c r="M8" i="36"/>
  <c r="I34" i="6" s="1"/>
  <c r="F60" i="36"/>
  <c r="G60" i="36" s="1"/>
  <c r="B61" i="36"/>
  <c r="F57" i="34"/>
  <c r="B58" i="34"/>
  <c r="G56" i="34"/>
  <c r="J56" i="34"/>
  <c r="D72" i="33"/>
  <c r="E72" i="33"/>
  <c r="B51" i="33"/>
  <c r="F50" i="33"/>
  <c r="C21" i="29"/>
  <c r="F20" i="29"/>
  <c r="M8" i="28"/>
  <c r="G39" i="28"/>
  <c r="F40" i="28"/>
  <c r="G40" i="28" s="1"/>
  <c r="B41" i="28"/>
  <c r="E63" i="28"/>
  <c r="I62" i="28"/>
  <c r="O7" i="28" s="1"/>
  <c r="E167" i="27"/>
  <c r="F167" i="27"/>
  <c r="C44" i="27"/>
  <c r="B46" i="27"/>
  <c r="G45" i="27"/>
  <c r="I45" i="27" s="1"/>
  <c r="K45" i="27" s="1"/>
  <c r="P65" i="27"/>
  <c r="U24" i="27"/>
  <c r="AE24" i="27" s="1"/>
  <c r="B62" i="36" l="1"/>
  <c r="F61" i="36"/>
  <c r="G61" i="36" s="1"/>
  <c r="H30" i="6"/>
  <c r="B59" i="34"/>
  <c r="F58" i="34"/>
  <c r="G58" i="34" s="1"/>
  <c r="G57" i="34"/>
  <c r="F168" i="27"/>
  <c r="I16" i="20"/>
  <c r="F20" i="6"/>
  <c r="E33" i="2"/>
  <c r="D73" i="33"/>
  <c r="G50" i="33"/>
  <c r="F51" i="33"/>
  <c r="G51" i="33" s="1"/>
  <c r="B52" i="33"/>
  <c r="F16" i="20"/>
  <c r="F21" i="29"/>
  <c r="G21" i="29" s="1"/>
  <c r="H21" i="29" s="1"/>
  <c r="I21" i="29" s="1"/>
  <c r="J21" i="29" s="1"/>
  <c r="K21" i="29" s="1"/>
  <c r="L21" i="29" s="1"/>
  <c r="M21" i="29" s="1"/>
  <c r="N21" i="29" s="1"/>
  <c r="O21" i="29" s="1"/>
  <c r="P21" i="29" s="1"/>
  <c r="Q21" i="29" s="1"/>
  <c r="R21" i="29" s="1"/>
  <c r="G20" i="29"/>
  <c r="H20" i="29" s="1"/>
  <c r="I20" i="29" s="1"/>
  <c r="J20" i="29" s="1"/>
  <c r="K20" i="29" s="1"/>
  <c r="L20" i="29" s="1"/>
  <c r="M20" i="29" s="1"/>
  <c r="N20" i="29" s="1"/>
  <c r="O20" i="29" s="1"/>
  <c r="P20" i="29" s="1"/>
  <c r="Q20" i="29" s="1"/>
  <c r="R20" i="29" s="1"/>
  <c r="E64" i="28"/>
  <c r="D64" i="28"/>
  <c r="F41" i="28"/>
  <c r="G41" i="28" s="1"/>
  <c r="B42" i="28"/>
  <c r="C45" i="27"/>
  <c r="B47" i="27"/>
  <c r="G46" i="27"/>
  <c r="I46" i="27" s="1"/>
  <c r="K46" i="27" s="1"/>
  <c r="E168" i="27"/>
  <c r="I32" i="6" l="1"/>
  <c r="H28" i="6"/>
  <c r="F62" i="36"/>
  <c r="B63" i="36"/>
  <c r="B60" i="34"/>
  <c r="F59" i="34"/>
  <c r="E38" i="2"/>
  <c r="E36" i="2" s="1"/>
  <c r="D74" i="33"/>
  <c r="B53" i="33"/>
  <c r="F52" i="33"/>
  <c r="G52" i="33" s="1"/>
  <c r="E74" i="33"/>
  <c r="F42" i="28"/>
  <c r="B43" i="28"/>
  <c r="E65" i="28"/>
  <c r="D65" i="28"/>
  <c r="C46" i="27"/>
  <c r="G47" i="27"/>
  <c r="I47" i="27" s="1"/>
  <c r="K47" i="27" s="1"/>
  <c r="B48" i="27"/>
  <c r="E169" i="27"/>
  <c r="F169" i="27"/>
  <c r="F170" i="27" s="1"/>
  <c r="F63" i="36" l="1"/>
  <c r="G63" i="36" s="1"/>
  <c r="B64" i="36"/>
  <c r="G62" i="36"/>
  <c r="G59" i="34"/>
  <c r="B61" i="34"/>
  <c r="F60" i="34"/>
  <c r="G60" i="34" s="1"/>
  <c r="E75" i="33"/>
  <c r="F53" i="33"/>
  <c r="G53" i="33" s="1"/>
  <c r="B54" i="33"/>
  <c r="D75" i="33"/>
  <c r="D66" i="28"/>
  <c r="E66" i="28"/>
  <c r="F43" i="28"/>
  <c r="G43" i="28" s="1"/>
  <c r="B44" i="28"/>
  <c r="G42" i="28"/>
  <c r="E170" i="27"/>
  <c r="G48" i="27"/>
  <c r="I48" i="27" s="1"/>
  <c r="K48" i="27" s="1"/>
  <c r="C47" i="27"/>
  <c r="B49" i="27"/>
  <c r="F171" i="27"/>
  <c r="E8" i="24"/>
  <c r="F64" i="36" l="1"/>
  <c r="B65" i="36"/>
  <c r="B62" i="34"/>
  <c r="F61" i="34"/>
  <c r="G61" i="34" s="1"/>
  <c r="D76" i="33"/>
  <c r="B55" i="33"/>
  <c r="F54" i="33"/>
  <c r="G54" i="33" s="1"/>
  <c r="E76" i="33"/>
  <c r="E67" i="28"/>
  <c r="F44" i="28"/>
  <c r="G44" i="28" s="1"/>
  <c r="B45" i="28"/>
  <c r="D67" i="28"/>
  <c r="D68" i="28" s="1"/>
  <c r="B50" i="27"/>
  <c r="G49" i="27"/>
  <c r="I49" i="27" s="1"/>
  <c r="K49" i="27" s="1"/>
  <c r="C48" i="27"/>
  <c r="E171" i="27"/>
  <c r="C195" i="24"/>
  <c r="C196" i="24"/>
  <c r="B66" i="36" l="1"/>
  <c r="F65" i="36"/>
  <c r="G65" i="36" s="1"/>
  <c r="G64" i="36"/>
  <c r="B63" i="34"/>
  <c r="F62" i="34"/>
  <c r="G62" i="34" s="1"/>
  <c r="D77" i="33"/>
  <c r="F55" i="33"/>
  <c r="G55" i="33" s="1"/>
  <c r="B56" i="33"/>
  <c r="E77" i="33"/>
  <c r="F45" i="28"/>
  <c r="G45" i="28" s="1"/>
  <c r="B46" i="28"/>
  <c r="E68" i="28"/>
  <c r="D69" i="28" s="1"/>
  <c r="E172" i="27"/>
  <c r="F172" i="27"/>
  <c r="C49" i="27"/>
  <c r="G50" i="27"/>
  <c r="I50" i="27" s="1"/>
  <c r="K50" i="27" s="1"/>
  <c r="B51" i="27"/>
  <c r="B67" i="36" l="1"/>
  <c r="F66" i="36"/>
  <c r="G66" i="36" s="1"/>
  <c r="B64" i="34"/>
  <c r="F63" i="34"/>
  <c r="G63" i="34" s="1"/>
  <c r="F173" i="27"/>
  <c r="F174" i="27" s="1"/>
  <c r="F175" i="27" s="1"/>
  <c r="F176" i="27" s="1"/>
  <c r="F177" i="27" s="1"/>
  <c r="F178" i="27" s="1"/>
  <c r="F179" i="27" s="1"/>
  <c r="F180" i="27" s="1"/>
  <c r="F181" i="27" s="1"/>
  <c r="F182" i="27" s="1"/>
  <c r="F183" i="27" s="1"/>
  <c r="F184" i="27" s="1"/>
  <c r="F185" i="27" s="1"/>
  <c r="F186" i="27" s="1"/>
  <c r="F187" i="27" s="1"/>
  <c r="F188" i="27" s="1"/>
  <c r="F189" i="27" s="1"/>
  <c r="F190" i="27" s="1"/>
  <c r="F191" i="27" s="1"/>
  <c r="F192" i="27" s="1"/>
  <c r="F193" i="27" s="1"/>
  <c r="F194" i="27" s="1"/>
  <c r="F195" i="27" s="1"/>
  <c r="F196" i="27" s="1"/>
  <c r="F197" i="27" s="1"/>
  <c r="F198" i="27" s="1"/>
  <c r="F199" i="27" s="1"/>
  <c r="F200" i="27" s="1"/>
  <c r="F201" i="27" s="1"/>
  <c r="F202" i="27" s="1"/>
  <c r="F203" i="27" s="1"/>
  <c r="F204" i="27" s="1"/>
  <c r="F205" i="27" s="1"/>
  <c r="F206" i="27" s="1"/>
  <c r="F207" i="27" s="1"/>
  <c r="F208" i="27" s="1"/>
  <c r="F209" i="27" s="1"/>
  <c r="F210" i="27" s="1"/>
  <c r="F211" i="27" s="1"/>
  <c r="F212" i="27" s="1"/>
  <c r="F213" i="27" s="1"/>
  <c r="F214" i="27" s="1"/>
  <c r="D78" i="33"/>
  <c r="E78" i="33"/>
  <c r="F56" i="33"/>
  <c r="B57" i="33"/>
  <c r="E69" i="28"/>
  <c r="F46" i="28"/>
  <c r="G46" i="28" s="1"/>
  <c r="B47" i="28"/>
  <c r="B52" i="27"/>
  <c r="G51" i="27"/>
  <c r="I51" i="27" s="1"/>
  <c r="K51" i="27" s="1"/>
  <c r="C50" i="27"/>
  <c r="E215" i="27"/>
  <c r="E220" i="27" s="1"/>
  <c r="L172" i="27"/>
  <c r="J10" i="20"/>
  <c r="H10" i="20"/>
  <c r="F67" i="36" l="1"/>
  <c r="G67" i="36" s="1"/>
  <c r="B68" i="36"/>
  <c r="F64" i="34"/>
  <c r="G64" i="34" s="1"/>
  <c r="B65" i="34"/>
  <c r="D79" i="33"/>
  <c r="G56" i="33"/>
  <c r="J56" i="33"/>
  <c r="B58" i="33"/>
  <c r="F57" i="33"/>
  <c r="E79" i="33"/>
  <c r="E70" i="28"/>
  <c r="D70" i="28"/>
  <c r="D71" i="28" s="1"/>
  <c r="F47" i="28"/>
  <c r="G47" i="28" s="1"/>
  <c r="B48" i="28"/>
  <c r="C51" i="27"/>
  <c r="G52" i="27"/>
  <c r="B53" i="27"/>
  <c r="V65" i="27"/>
  <c r="L219" i="27"/>
  <c r="E37" i="24"/>
  <c r="B69" i="36" l="1"/>
  <c r="F68" i="36"/>
  <c r="G68" i="36" s="1"/>
  <c r="F65" i="34"/>
  <c r="G65" i="34" s="1"/>
  <c r="B66" i="34"/>
  <c r="D80" i="33"/>
  <c r="AC65" i="27"/>
  <c r="J16" i="6"/>
  <c r="M8" i="33"/>
  <c r="F58" i="33"/>
  <c r="G58" i="33" s="1"/>
  <c r="B59" i="33"/>
  <c r="E80" i="33"/>
  <c r="E81" i="33" s="1"/>
  <c r="E82" i="33" s="1"/>
  <c r="G57" i="33"/>
  <c r="F48" i="28"/>
  <c r="G48" i="28" s="1"/>
  <c r="B49" i="28"/>
  <c r="E71" i="28"/>
  <c r="B54" i="27"/>
  <c r="G53" i="27"/>
  <c r="C52" i="27"/>
  <c r="I52" i="27"/>
  <c r="K52" i="27" s="1"/>
  <c r="M52" i="27"/>
  <c r="Q25" i="27" s="1"/>
  <c r="E38" i="24"/>
  <c r="B70" i="36" l="1"/>
  <c r="F69" i="36"/>
  <c r="G69" i="36" s="1"/>
  <c r="F66" i="34"/>
  <c r="G66" i="34" s="1"/>
  <c r="B67" i="34"/>
  <c r="D81" i="33"/>
  <c r="D82" i="33" s="1"/>
  <c r="G26" i="6"/>
  <c r="I80" i="33"/>
  <c r="O7" i="33" s="1"/>
  <c r="I25" i="6" s="1"/>
  <c r="B60" i="33"/>
  <c r="F59" i="33"/>
  <c r="F49" i="28"/>
  <c r="G49" i="28" s="1"/>
  <c r="B50" i="28"/>
  <c r="E72" i="28"/>
  <c r="D72" i="28"/>
  <c r="C53" i="27"/>
  <c r="G54" i="27"/>
  <c r="I54" i="27" s="1"/>
  <c r="K54" i="27" s="1"/>
  <c r="B55" i="27"/>
  <c r="I53" i="27"/>
  <c r="K53" i="27" s="1"/>
  <c r="E39" i="24"/>
  <c r="B71" i="36" l="1"/>
  <c r="F70" i="36"/>
  <c r="F67" i="34"/>
  <c r="G67" i="34" s="1"/>
  <c r="B68" i="34"/>
  <c r="G24" i="6"/>
  <c r="F60" i="33"/>
  <c r="G60" i="33" s="1"/>
  <c r="B61" i="33"/>
  <c r="G59" i="33"/>
  <c r="E73" i="28"/>
  <c r="B51" i="28"/>
  <c r="F50" i="28"/>
  <c r="D73" i="28"/>
  <c r="D74" i="28" s="1"/>
  <c r="B56" i="27"/>
  <c r="G55" i="27"/>
  <c r="C54" i="27"/>
  <c r="E40" i="24"/>
  <c r="E41" i="24" s="1"/>
  <c r="G70" i="36" l="1"/>
  <c r="J70" i="36"/>
  <c r="F71" i="36"/>
  <c r="B72" i="36"/>
  <c r="B69" i="34"/>
  <c r="F68" i="34"/>
  <c r="B62" i="33"/>
  <c r="F61" i="33"/>
  <c r="D83" i="33"/>
  <c r="G50" i="28"/>
  <c r="J50" i="28"/>
  <c r="F51" i="28"/>
  <c r="B52" i="28"/>
  <c r="E74" i="28"/>
  <c r="D75" i="28" s="1"/>
  <c r="I55" i="27"/>
  <c r="K55" i="27" s="1"/>
  <c r="C55" i="27"/>
  <c r="B57" i="27"/>
  <c r="G56" i="27"/>
  <c r="I56" i="27" s="1"/>
  <c r="K56" i="27" s="1"/>
  <c r="E42" i="24"/>
  <c r="E43" i="24" s="1"/>
  <c r="E44" i="24" s="1"/>
  <c r="E45" i="24" s="1"/>
  <c r="E46" i="24" s="1"/>
  <c r="E49" i="24"/>
  <c r="F72" i="36" l="1"/>
  <c r="G72" i="36" s="1"/>
  <c r="B73" i="36"/>
  <c r="G71" i="36"/>
  <c r="N8" i="36"/>
  <c r="J34" i="6" s="1"/>
  <c r="G68" i="34"/>
  <c r="J68" i="34"/>
  <c r="B70" i="34"/>
  <c r="F69" i="34"/>
  <c r="D84" i="33"/>
  <c r="E84" i="33"/>
  <c r="G61" i="33"/>
  <c r="F62" i="33"/>
  <c r="G62" i="33" s="1"/>
  <c r="B63" i="33"/>
  <c r="N8" i="28"/>
  <c r="F52" i="28"/>
  <c r="G52" i="28" s="1"/>
  <c r="B53" i="28"/>
  <c r="G51" i="28"/>
  <c r="E75" i="28"/>
  <c r="D76" i="28" s="1"/>
  <c r="I74" i="28"/>
  <c r="P7" i="28" s="1"/>
  <c r="G20" i="6" s="1"/>
  <c r="B58" i="27"/>
  <c r="G57" i="27"/>
  <c r="I57" i="27" s="1"/>
  <c r="K57" i="27" s="1"/>
  <c r="C56" i="27"/>
  <c r="E50" i="24"/>
  <c r="M11" i="6"/>
  <c r="M12" i="6"/>
  <c r="E13" i="6"/>
  <c r="F31" i="2" s="1"/>
  <c r="F13" i="6"/>
  <c r="G31" i="2" s="1"/>
  <c r="G13" i="6"/>
  <c r="H31" i="2" s="1"/>
  <c r="H13" i="6"/>
  <c r="I31" i="2" s="1"/>
  <c r="I13" i="6"/>
  <c r="J31" i="2" s="1"/>
  <c r="J13" i="6"/>
  <c r="K31" i="2" s="1"/>
  <c r="K13" i="6"/>
  <c r="L31" i="2" s="1"/>
  <c r="L13" i="6"/>
  <c r="M13" i="6"/>
  <c r="P2" i="24"/>
  <c r="Q2" i="24" s="1"/>
  <c r="R2" i="24" s="1"/>
  <c r="S2" i="24" s="1"/>
  <c r="T2" i="24" s="1"/>
  <c r="U2" i="24" s="1"/>
  <c r="V2" i="24" s="1"/>
  <c r="W2" i="24" s="1"/>
  <c r="X2" i="24" s="1"/>
  <c r="Y2" i="24" s="1"/>
  <c r="Z2" i="24" s="1"/>
  <c r="AA2" i="24" s="1"/>
  <c r="AB2" i="24" s="1"/>
  <c r="AC2" i="24" s="1"/>
  <c r="L40" i="24"/>
  <c r="P3" i="24" s="1"/>
  <c r="L28" i="24"/>
  <c r="O3" i="24" s="1"/>
  <c r="B12" i="20"/>
  <c r="B11" i="20"/>
  <c r="C194" i="24"/>
  <c r="C28" i="24"/>
  <c r="I19" i="24"/>
  <c r="F19" i="24"/>
  <c r="F20" i="24" s="1"/>
  <c r="F21" i="24" s="1"/>
  <c r="F22" i="24" s="1"/>
  <c r="B18" i="24"/>
  <c r="C17" i="24" s="1"/>
  <c r="E5" i="24"/>
  <c r="N31" i="2" l="1"/>
  <c r="N15" i="2" s="1"/>
  <c r="M40" i="6"/>
  <c r="M31" i="2"/>
  <c r="M15" i="2" s="1"/>
  <c r="L40" i="6"/>
  <c r="B74" i="36"/>
  <c r="F73" i="36"/>
  <c r="N30" i="2"/>
  <c r="N29" i="2"/>
  <c r="G69" i="34"/>
  <c r="I30" i="6"/>
  <c r="B71" i="34"/>
  <c r="F70" i="34"/>
  <c r="G70" i="34" s="1"/>
  <c r="D85" i="33"/>
  <c r="E31" i="2"/>
  <c r="E25" i="2"/>
  <c r="B64" i="33"/>
  <c r="F63" i="33"/>
  <c r="E21" i="6"/>
  <c r="H16" i="20"/>
  <c r="Q25" i="29"/>
  <c r="P25" i="29"/>
  <c r="E17" i="11"/>
  <c r="E76" i="28"/>
  <c r="F53" i="28"/>
  <c r="B54" i="28"/>
  <c r="C57" i="27"/>
  <c r="B59" i="27"/>
  <c r="G58" i="27"/>
  <c r="I58" i="27" s="1"/>
  <c r="K58" i="27" s="1"/>
  <c r="C14" i="20"/>
  <c r="C13" i="20"/>
  <c r="R55" i="2"/>
  <c r="E51" i="24"/>
  <c r="G18" i="24"/>
  <c r="I18" i="24" s="1"/>
  <c r="K18" i="24" s="1"/>
  <c r="F23" i="24"/>
  <c r="F24" i="24" s="1"/>
  <c r="F25" i="24" s="1"/>
  <c r="F26" i="24" s="1"/>
  <c r="F27" i="24" s="1"/>
  <c r="F28" i="24" s="1"/>
  <c r="F29" i="24" s="1"/>
  <c r="B19" i="24"/>
  <c r="K19" i="24"/>
  <c r="J32" i="6" l="1"/>
  <c r="I28" i="6"/>
  <c r="G73" i="36"/>
  <c r="B75" i="36"/>
  <c r="F74" i="36"/>
  <c r="G74" i="36" s="1"/>
  <c r="B72" i="34"/>
  <c r="F71" i="34"/>
  <c r="G71" i="34" s="1"/>
  <c r="F36" i="2"/>
  <c r="E19" i="6"/>
  <c r="C19" i="20"/>
  <c r="P23" i="29"/>
  <c r="E86" i="33"/>
  <c r="D86" i="33"/>
  <c r="G63" i="33"/>
  <c r="F64" i="33"/>
  <c r="G64" i="33" s="1"/>
  <c r="B65" i="33"/>
  <c r="F54" i="28"/>
  <c r="G54" i="28" s="1"/>
  <c r="B55" i="28"/>
  <c r="E77" i="28"/>
  <c r="G53" i="28"/>
  <c r="D77" i="28"/>
  <c r="D78" i="28" s="1"/>
  <c r="C58" i="27"/>
  <c r="B60" i="27"/>
  <c r="G59" i="27"/>
  <c r="I59" i="27" s="1"/>
  <c r="K59" i="27" s="1"/>
  <c r="L52" i="24"/>
  <c r="F30" i="24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B20" i="24"/>
  <c r="C18" i="24"/>
  <c r="F75" i="36" l="1"/>
  <c r="G75" i="36" s="1"/>
  <c r="B76" i="36"/>
  <c r="B73" i="34"/>
  <c r="F72" i="34"/>
  <c r="D87" i="33"/>
  <c r="B66" i="33"/>
  <c r="F65" i="33"/>
  <c r="E87" i="33"/>
  <c r="E78" i="28"/>
  <c r="D79" i="28" s="1"/>
  <c r="F55" i="28"/>
  <c r="B56" i="28"/>
  <c r="B61" i="27"/>
  <c r="G60" i="27"/>
  <c r="I60" i="27" s="1"/>
  <c r="K60" i="27" s="1"/>
  <c r="C59" i="27"/>
  <c r="F41" i="24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L5" i="24" s="1"/>
  <c r="E53" i="24"/>
  <c r="Q3" i="24"/>
  <c r="C19" i="24"/>
  <c r="G20" i="24"/>
  <c r="B21" i="24"/>
  <c r="F76" i="36" l="1"/>
  <c r="G76" i="36" s="1"/>
  <c r="B77" i="36"/>
  <c r="G72" i="34"/>
  <c r="F73" i="34"/>
  <c r="G73" i="34" s="1"/>
  <c r="B74" i="34"/>
  <c r="D88" i="33"/>
  <c r="E88" i="33"/>
  <c r="G65" i="33"/>
  <c r="F66" i="33"/>
  <c r="G66" i="33" s="1"/>
  <c r="B67" i="33"/>
  <c r="F56" i="28"/>
  <c r="G56" i="28" s="1"/>
  <c r="B57" i="28"/>
  <c r="G55" i="28"/>
  <c r="E79" i="28"/>
  <c r="D80" i="28" s="1"/>
  <c r="B62" i="27"/>
  <c r="G61" i="27"/>
  <c r="I61" i="27" s="1"/>
  <c r="K61" i="27" s="1"/>
  <c r="C60" i="27"/>
  <c r="F54" i="24"/>
  <c r="E54" i="24"/>
  <c r="E55" i="24" s="1"/>
  <c r="E56" i="24" s="1"/>
  <c r="I20" i="24"/>
  <c r="B22" i="24"/>
  <c r="C20" i="24"/>
  <c r="G21" i="24"/>
  <c r="B78" i="36" l="1"/>
  <c r="F77" i="36"/>
  <c r="F74" i="34"/>
  <c r="G74" i="34" s="1"/>
  <c r="B75" i="34"/>
  <c r="D89" i="33"/>
  <c r="B68" i="33"/>
  <c r="F67" i="33"/>
  <c r="G67" i="33" s="1"/>
  <c r="E89" i="33"/>
  <c r="F57" i="28"/>
  <c r="B58" i="28"/>
  <c r="E80" i="28"/>
  <c r="B63" i="27"/>
  <c r="C61" i="27"/>
  <c r="G62" i="27"/>
  <c r="I62" i="27" s="1"/>
  <c r="K62" i="27" s="1"/>
  <c r="F55" i="24"/>
  <c r="F56" i="24" s="1"/>
  <c r="F57" i="24" s="1"/>
  <c r="E57" i="24"/>
  <c r="I21" i="24"/>
  <c r="K21" i="24" s="1"/>
  <c r="B23" i="24"/>
  <c r="G22" i="24"/>
  <c r="C21" i="24"/>
  <c r="K20" i="24"/>
  <c r="G77" i="36" l="1"/>
  <c r="B79" i="36"/>
  <c r="F78" i="36"/>
  <c r="G78" i="36" s="1"/>
  <c r="F75" i="34"/>
  <c r="B76" i="34"/>
  <c r="D90" i="33"/>
  <c r="B69" i="33"/>
  <c r="F68" i="33"/>
  <c r="E90" i="33"/>
  <c r="E81" i="28"/>
  <c r="F58" i="28"/>
  <c r="G58" i="28" s="1"/>
  <c r="B59" i="28"/>
  <c r="G57" i="28"/>
  <c r="D81" i="28"/>
  <c r="B64" i="27"/>
  <c r="G63" i="27"/>
  <c r="I63" i="27" s="1"/>
  <c r="K63" i="27" s="1"/>
  <c r="C62" i="27"/>
  <c r="E58" i="24"/>
  <c r="F58" i="24"/>
  <c r="F59" i="24" s="1"/>
  <c r="G23" i="24"/>
  <c r="B24" i="24"/>
  <c r="C22" i="24"/>
  <c r="I22" i="24"/>
  <c r="B80" i="36" l="1"/>
  <c r="F79" i="36"/>
  <c r="G79" i="36" s="1"/>
  <c r="B77" i="34"/>
  <c r="F76" i="34"/>
  <c r="G76" i="34" s="1"/>
  <c r="G75" i="34"/>
  <c r="E91" i="33"/>
  <c r="G68" i="33"/>
  <c r="J68" i="33"/>
  <c r="D91" i="33"/>
  <c r="F69" i="33"/>
  <c r="B70" i="33"/>
  <c r="E82" i="28"/>
  <c r="D82" i="28"/>
  <c r="F59" i="28"/>
  <c r="B60" i="28"/>
  <c r="G64" i="27"/>
  <c r="C63" i="27"/>
  <c r="B65" i="27"/>
  <c r="E59" i="24"/>
  <c r="B25" i="24"/>
  <c r="G24" i="24"/>
  <c r="C23" i="24"/>
  <c r="K22" i="24"/>
  <c r="I23" i="24"/>
  <c r="K23" i="24" s="1"/>
  <c r="B81" i="36" l="1"/>
  <c r="F80" i="36"/>
  <c r="G80" i="36" s="1"/>
  <c r="B78" i="34"/>
  <c r="F77" i="34"/>
  <c r="G77" i="34" s="1"/>
  <c r="D92" i="33"/>
  <c r="N8" i="33"/>
  <c r="B71" i="33"/>
  <c r="F70" i="33"/>
  <c r="G70" i="33" s="1"/>
  <c r="G69" i="33"/>
  <c r="E92" i="33"/>
  <c r="E93" i="33" s="1"/>
  <c r="E94" i="33" s="1"/>
  <c r="G59" i="28"/>
  <c r="F60" i="28"/>
  <c r="G60" i="28" s="1"/>
  <c r="B61" i="28"/>
  <c r="E83" i="28"/>
  <c r="D83" i="28"/>
  <c r="I64" i="27"/>
  <c r="K64" i="27" s="1"/>
  <c r="M64" i="27"/>
  <c r="R25" i="27" s="1"/>
  <c r="B66" i="27"/>
  <c r="G65" i="27"/>
  <c r="I65" i="27" s="1"/>
  <c r="K65" i="27" s="1"/>
  <c r="C64" i="27"/>
  <c r="E60" i="24"/>
  <c r="E61" i="24" s="1"/>
  <c r="E62" i="24" s="1"/>
  <c r="F60" i="24"/>
  <c r="I24" i="24"/>
  <c r="G25" i="24"/>
  <c r="C24" i="24"/>
  <c r="B26" i="24"/>
  <c r="F81" i="36" l="1"/>
  <c r="G81" i="36" s="1"/>
  <c r="B82" i="36"/>
  <c r="B79" i="34"/>
  <c r="F78" i="34"/>
  <c r="G78" i="34" s="1"/>
  <c r="D93" i="33"/>
  <c r="H26" i="6"/>
  <c r="I92" i="33"/>
  <c r="P7" i="33" s="1"/>
  <c r="J25" i="6" s="1"/>
  <c r="F71" i="33"/>
  <c r="G71" i="33" s="1"/>
  <c r="B72" i="33"/>
  <c r="E84" i="28"/>
  <c r="D84" i="28"/>
  <c r="D85" i="28" s="1"/>
  <c r="F61" i="28"/>
  <c r="G61" i="28" s="1"/>
  <c r="B62" i="28"/>
  <c r="G66" i="27"/>
  <c r="I66" i="27" s="1"/>
  <c r="K66" i="27" s="1"/>
  <c r="C65" i="27"/>
  <c r="B67" i="27"/>
  <c r="F61" i="24"/>
  <c r="F62" i="24" s="1"/>
  <c r="F63" i="24" s="1"/>
  <c r="E63" i="24"/>
  <c r="K24" i="24"/>
  <c r="I25" i="24"/>
  <c r="G26" i="24"/>
  <c r="B27" i="24"/>
  <c r="C25" i="24"/>
  <c r="B83" i="36" l="1"/>
  <c r="F82" i="36"/>
  <c r="B80" i="34"/>
  <c r="F79" i="34"/>
  <c r="G79" i="34" s="1"/>
  <c r="H24" i="6"/>
  <c r="B73" i="33"/>
  <c r="F72" i="33"/>
  <c r="G72" i="33" s="1"/>
  <c r="D94" i="33"/>
  <c r="F62" i="28"/>
  <c r="B63" i="28"/>
  <c r="E85" i="28"/>
  <c r="G67" i="27"/>
  <c r="I67" i="27" s="1"/>
  <c r="K67" i="27" s="1"/>
  <c r="B68" i="27"/>
  <c r="C66" i="27"/>
  <c r="E64" i="24"/>
  <c r="L64" i="24" s="1"/>
  <c r="R3" i="24" s="1"/>
  <c r="E14" i="20" s="1"/>
  <c r="F64" i="24"/>
  <c r="B28" i="24"/>
  <c r="G27" i="24"/>
  <c r="C26" i="24"/>
  <c r="I26" i="24"/>
  <c r="K26" i="24" s="1"/>
  <c r="G82" i="36" l="1"/>
  <c r="J82" i="36"/>
  <c r="O8" i="36" s="1"/>
  <c r="K34" i="6" s="1"/>
  <c r="B84" i="36"/>
  <c r="F83" i="36"/>
  <c r="B81" i="34"/>
  <c r="F80" i="34"/>
  <c r="D95" i="33"/>
  <c r="F73" i="33"/>
  <c r="B74" i="33"/>
  <c r="F65" i="24"/>
  <c r="E86" i="28"/>
  <c r="F63" i="28"/>
  <c r="B64" i="28"/>
  <c r="D86" i="28"/>
  <c r="D87" i="28" s="1"/>
  <c r="G62" i="28"/>
  <c r="J62" i="28"/>
  <c r="O8" i="28" s="1"/>
  <c r="B69" i="27"/>
  <c r="C67" i="27"/>
  <c r="G68" i="27"/>
  <c r="I68" i="27" s="1"/>
  <c r="K68" i="27" s="1"/>
  <c r="E65" i="24"/>
  <c r="I27" i="24"/>
  <c r="K27" i="24" s="1"/>
  <c r="B29" i="24"/>
  <c r="G29" i="24" s="1"/>
  <c r="G28" i="24"/>
  <c r="C27" i="24"/>
  <c r="K32" i="6" l="1"/>
  <c r="G83" i="36"/>
  <c r="B85" i="36"/>
  <c r="F84" i="36"/>
  <c r="G84" i="36" s="1"/>
  <c r="G80" i="34"/>
  <c r="J80" i="34"/>
  <c r="J30" i="6" s="1"/>
  <c r="J28" i="6" s="1"/>
  <c r="B82" i="34"/>
  <c r="F81" i="34"/>
  <c r="E96" i="33"/>
  <c r="G73" i="33"/>
  <c r="B75" i="33"/>
  <c r="F74" i="33"/>
  <c r="G74" i="33" s="1"/>
  <c r="D96" i="33"/>
  <c r="D97" i="33" s="1"/>
  <c r="F21" i="6"/>
  <c r="J16" i="20"/>
  <c r="F64" i="28"/>
  <c r="G64" i="28" s="1"/>
  <c r="B65" i="28"/>
  <c r="G63" i="28"/>
  <c r="E87" i="28"/>
  <c r="I86" i="28"/>
  <c r="Q7" i="28" s="1"/>
  <c r="H20" i="6" s="1"/>
  <c r="C68" i="27"/>
  <c r="B70" i="27"/>
  <c r="G69" i="27"/>
  <c r="I69" i="27" s="1"/>
  <c r="K69" i="27" s="1"/>
  <c r="E66" i="24"/>
  <c r="E67" i="24" s="1"/>
  <c r="E68" i="24" s="1"/>
  <c r="E69" i="24" s="1"/>
  <c r="E70" i="24" s="1"/>
  <c r="E71" i="24" s="1"/>
  <c r="E72" i="24" s="1"/>
  <c r="E73" i="24" s="1"/>
  <c r="E74" i="24" s="1"/>
  <c r="E75" i="24" s="1"/>
  <c r="E76" i="24" s="1"/>
  <c r="F66" i="24"/>
  <c r="M28" i="24"/>
  <c r="I28" i="24"/>
  <c r="K28" i="24" s="1"/>
  <c r="B30" i="24"/>
  <c r="B86" i="36" l="1"/>
  <c r="F85" i="36"/>
  <c r="G85" i="36" s="1"/>
  <c r="G81" i="34"/>
  <c r="F82" i="34"/>
  <c r="G82" i="34" s="1"/>
  <c r="B83" i="34"/>
  <c r="F19" i="6"/>
  <c r="R48" i="2"/>
  <c r="G36" i="2"/>
  <c r="F75" i="33"/>
  <c r="G75" i="33" s="1"/>
  <c r="B76" i="33"/>
  <c r="D98" i="33"/>
  <c r="L76" i="24"/>
  <c r="S3" i="24" s="1"/>
  <c r="E77" i="24"/>
  <c r="E78" i="24" s="1"/>
  <c r="E79" i="24" s="1"/>
  <c r="E80" i="24" s="1"/>
  <c r="E81" i="24" s="1"/>
  <c r="E82" i="24" s="1"/>
  <c r="E83" i="24" s="1"/>
  <c r="E84" i="24" s="1"/>
  <c r="E85" i="24" s="1"/>
  <c r="E88" i="28"/>
  <c r="F65" i="28"/>
  <c r="B66" i="28"/>
  <c r="D88" i="28"/>
  <c r="D89" i="28" s="1"/>
  <c r="G70" i="27"/>
  <c r="I70" i="27" s="1"/>
  <c r="K70" i="27" s="1"/>
  <c r="C69" i="27"/>
  <c r="B71" i="27"/>
  <c r="F67" i="24"/>
  <c r="F68" i="24" s="1"/>
  <c r="F69" i="24" s="1"/>
  <c r="F70" i="24" s="1"/>
  <c r="F71" i="24" s="1"/>
  <c r="F72" i="24" s="1"/>
  <c r="F73" i="24" s="1"/>
  <c r="F74" i="24" s="1"/>
  <c r="F75" i="24" s="1"/>
  <c r="F76" i="24" s="1"/>
  <c r="F77" i="24" s="1"/>
  <c r="F78" i="24" s="1"/>
  <c r="O4" i="24"/>
  <c r="I29" i="24"/>
  <c r="G30" i="24"/>
  <c r="I30" i="24" s="1"/>
  <c r="K30" i="24" s="1"/>
  <c r="B31" i="24"/>
  <c r="C29" i="24"/>
  <c r="F86" i="36" l="1"/>
  <c r="B87" i="36"/>
  <c r="B84" i="34"/>
  <c r="F83" i="34"/>
  <c r="G83" i="34" s="1"/>
  <c r="B77" i="33"/>
  <c r="F76" i="33"/>
  <c r="G76" i="33" s="1"/>
  <c r="E98" i="33"/>
  <c r="E86" i="24"/>
  <c r="E87" i="24" s="1"/>
  <c r="F11" i="11"/>
  <c r="G11" i="11" s="1"/>
  <c r="F66" i="28"/>
  <c r="G66" i="28" s="1"/>
  <c r="B67" i="28"/>
  <c r="G65" i="28"/>
  <c r="E89" i="28"/>
  <c r="D90" i="28" s="1"/>
  <c r="B72" i="27"/>
  <c r="G71" i="27"/>
  <c r="C70" i="27"/>
  <c r="F79" i="24"/>
  <c r="F80" i="24" s="1"/>
  <c r="F81" i="24" s="1"/>
  <c r="F82" i="24" s="1"/>
  <c r="F83" i="24" s="1"/>
  <c r="F84" i="24" s="1"/>
  <c r="F85" i="24" s="1"/>
  <c r="F86" i="24" s="1"/>
  <c r="F87" i="24" s="1"/>
  <c r="F88" i="24" s="1"/>
  <c r="C30" i="24"/>
  <c r="G31" i="24"/>
  <c r="B32" i="24"/>
  <c r="F87" i="36" l="1"/>
  <c r="G87" i="36" s="1"/>
  <c r="B88" i="36"/>
  <c r="G86" i="36"/>
  <c r="F84" i="34"/>
  <c r="B85" i="34"/>
  <c r="F77" i="33"/>
  <c r="G77" i="33" s="1"/>
  <c r="B78" i="33"/>
  <c r="E99" i="33"/>
  <c r="D99" i="33"/>
  <c r="E88" i="24"/>
  <c r="H11" i="11" s="1"/>
  <c r="E90" i="28"/>
  <c r="F67" i="28"/>
  <c r="G67" i="28" s="1"/>
  <c r="B68" i="28"/>
  <c r="B73" i="27"/>
  <c r="G72" i="27"/>
  <c r="I72" i="27" s="1"/>
  <c r="K72" i="27" s="1"/>
  <c r="C71" i="27"/>
  <c r="I71" i="27"/>
  <c r="K71" i="27" s="1"/>
  <c r="I31" i="24"/>
  <c r="K31" i="24" s="1"/>
  <c r="C31" i="24"/>
  <c r="B33" i="24"/>
  <c r="G32" i="24"/>
  <c r="B89" i="36" l="1"/>
  <c r="F88" i="36"/>
  <c r="B86" i="34"/>
  <c r="F85" i="34"/>
  <c r="G85" i="34" s="1"/>
  <c r="G84" i="34"/>
  <c r="E100" i="33"/>
  <c r="B79" i="33"/>
  <c r="F78" i="33"/>
  <c r="G78" i="33" s="1"/>
  <c r="D100" i="33"/>
  <c r="M11" i="11"/>
  <c r="E89" i="24"/>
  <c r="L88" i="24"/>
  <c r="T3" i="24" s="1"/>
  <c r="F89" i="24"/>
  <c r="F68" i="28"/>
  <c r="G68" i="28" s="1"/>
  <c r="B69" i="28"/>
  <c r="E91" i="28"/>
  <c r="D91" i="28"/>
  <c r="D92" i="28" s="1"/>
  <c r="B74" i="27"/>
  <c r="G73" i="27"/>
  <c r="C72" i="27"/>
  <c r="I32" i="24"/>
  <c r="K32" i="24" s="1"/>
  <c r="G33" i="24"/>
  <c r="C32" i="24"/>
  <c r="B34" i="24"/>
  <c r="G88" i="36" l="1"/>
  <c r="B90" i="36"/>
  <c r="F89" i="36"/>
  <c r="G89" i="36" s="1"/>
  <c r="F86" i="34"/>
  <c r="B87" i="34"/>
  <c r="F90" i="24"/>
  <c r="D101" i="33"/>
  <c r="F79" i="33"/>
  <c r="G79" i="33" s="1"/>
  <c r="B80" i="33"/>
  <c r="E101" i="33"/>
  <c r="E90" i="24"/>
  <c r="E91" i="24" s="1"/>
  <c r="E92" i="24" s="1"/>
  <c r="E93" i="24" s="1"/>
  <c r="E94" i="24" s="1"/>
  <c r="E95" i="24" s="1"/>
  <c r="E96" i="24" s="1"/>
  <c r="E97" i="24" s="1"/>
  <c r="E98" i="24" s="1"/>
  <c r="E99" i="24" s="1"/>
  <c r="E100" i="24" s="1"/>
  <c r="E101" i="24" s="1"/>
  <c r="E92" i="28"/>
  <c r="F69" i="28"/>
  <c r="B70" i="28"/>
  <c r="D93" i="28"/>
  <c r="B75" i="27"/>
  <c r="G74" i="27"/>
  <c r="C73" i="27"/>
  <c r="I73" i="27"/>
  <c r="K73" i="27" s="1"/>
  <c r="I33" i="24"/>
  <c r="K33" i="24" s="1"/>
  <c r="C33" i="24"/>
  <c r="G34" i="24"/>
  <c r="I34" i="24" s="1"/>
  <c r="K34" i="24" s="1"/>
  <c r="B35" i="24"/>
  <c r="B91" i="36" l="1"/>
  <c r="F90" i="36"/>
  <c r="G90" i="36" s="1"/>
  <c r="B88" i="34"/>
  <c r="F87" i="34"/>
  <c r="G87" i="34" s="1"/>
  <c r="G86" i="34"/>
  <c r="L100" i="24"/>
  <c r="U3" i="24" s="1"/>
  <c r="E102" i="33"/>
  <c r="F80" i="33"/>
  <c r="B81" i="33"/>
  <c r="D102" i="33"/>
  <c r="E102" i="24"/>
  <c r="E103" i="24" s="1"/>
  <c r="E104" i="24" s="1"/>
  <c r="E105" i="24" s="1"/>
  <c r="E106" i="24" s="1"/>
  <c r="E107" i="24" s="1"/>
  <c r="E108" i="24" s="1"/>
  <c r="E109" i="24" s="1"/>
  <c r="E110" i="24" s="1"/>
  <c r="E111" i="24" s="1"/>
  <c r="E112" i="24" s="1"/>
  <c r="E113" i="24" s="1"/>
  <c r="F91" i="24"/>
  <c r="F92" i="24" s="1"/>
  <c r="F93" i="24" s="1"/>
  <c r="F94" i="24" s="1"/>
  <c r="F95" i="24" s="1"/>
  <c r="F96" i="24" s="1"/>
  <c r="F97" i="24" s="1"/>
  <c r="F98" i="24" s="1"/>
  <c r="F99" i="24" s="1"/>
  <c r="F100" i="24" s="1"/>
  <c r="F101" i="24" s="1"/>
  <c r="F102" i="24" s="1"/>
  <c r="I74" i="27"/>
  <c r="K74" i="27" s="1"/>
  <c r="F70" i="28"/>
  <c r="G70" i="28" s="1"/>
  <c r="B71" i="28"/>
  <c r="E93" i="28"/>
  <c r="G69" i="28"/>
  <c r="C74" i="27"/>
  <c r="B76" i="27"/>
  <c r="G75" i="27"/>
  <c r="I75" i="27" s="1"/>
  <c r="K75" i="27" s="1"/>
  <c r="C34" i="24"/>
  <c r="B36" i="24"/>
  <c r="G35" i="24"/>
  <c r="F91" i="36" l="1"/>
  <c r="G91" i="36" s="1"/>
  <c r="B92" i="36"/>
  <c r="B89" i="34"/>
  <c r="F88" i="34"/>
  <c r="E23" i="2"/>
  <c r="E29" i="2"/>
  <c r="D103" i="33"/>
  <c r="G80" i="33"/>
  <c r="J80" i="33"/>
  <c r="O8" i="33" s="1"/>
  <c r="I26" i="6" s="1"/>
  <c r="E103" i="33"/>
  <c r="B82" i="33"/>
  <c r="F81" i="33"/>
  <c r="F103" i="24"/>
  <c r="F104" i="24" s="1"/>
  <c r="F105" i="24" s="1"/>
  <c r="F106" i="24" s="1"/>
  <c r="F107" i="24" s="1"/>
  <c r="F108" i="24" s="1"/>
  <c r="F109" i="24" s="1"/>
  <c r="F110" i="24" s="1"/>
  <c r="F111" i="24" s="1"/>
  <c r="F112" i="24" s="1"/>
  <c r="F113" i="24" s="1"/>
  <c r="F114" i="24" s="1"/>
  <c r="E114" i="24"/>
  <c r="E115" i="24" s="1"/>
  <c r="E116" i="24" s="1"/>
  <c r="E117" i="24" s="1"/>
  <c r="E118" i="24" s="1"/>
  <c r="E119" i="24" s="1"/>
  <c r="E120" i="24" s="1"/>
  <c r="E121" i="24" s="1"/>
  <c r="E122" i="24" s="1"/>
  <c r="E123" i="24" s="1"/>
  <c r="E124" i="24" s="1"/>
  <c r="E125" i="24" s="1"/>
  <c r="L112" i="24"/>
  <c r="V3" i="24" s="1"/>
  <c r="E94" i="28"/>
  <c r="F71" i="28"/>
  <c r="G71" i="28" s="1"/>
  <c r="B72" i="28"/>
  <c r="D94" i="28"/>
  <c r="D95" i="28" s="1"/>
  <c r="C75" i="27"/>
  <c r="G76" i="27"/>
  <c r="B77" i="27"/>
  <c r="I35" i="24"/>
  <c r="K35" i="24" s="1"/>
  <c r="G36" i="24"/>
  <c r="C35" i="24"/>
  <c r="B37" i="24"/>
  <c r="F92" i="36" l="1"/>
  <c r="G92" i="36" s="1"/>
  <c r="B93" i="36"/>
  <c r="G88" i="34"/>
  <c r="F89" i="34"/>
  <c r="G89" i="34" s="1"/>
  <c r="B90" i="34"/>
  <c r="I24" i="6"/>
  <c r="L124" i="24"/>
  <c r="W3" i="24" s="1"/>
  <c r="D104" i="33"/>
  <c r="G81" i="33"/>
  <c r="B83" i="33"/>
  <c r="F82" i="33"/>
  <c r="G82" i="33" s="1"/>
  <c r="E104" i="33"/>
  <c r="E105" i="33" s="1"/>
  <c r="E106" i="33" s="1"/>
  <c r="E11" i="6"/>
  <c r="G14" i="20"/>
  <c r="F11" i="6"/>
  <c r="I14" i="20"/>
  <c r="E126" i="24"/>
  <c r="E127" i="24" s="1"/>
  <c r="E128" i="24" s="1"/>
  <c r="E129" i="24" s="1"/>
  <c r="E130" i="24" s="1"/>
  <c r="E131" i="24" s="1"/>
  <c r="E132" i="24" s="1"/>
  <c r="E133" i="24" s="1"/>
  <c r="E134" i="24" s="1"/>
  <c r="E135" i="24" s="1"/>
  <c r="E136" i="24" s="1"/>
  <c r="E137" i="24" s="1"/>
  <c r="F115" i="24"/>
  <c r="F116" i="24" s="1"/>
  <c r="F117" i="24" s="1"/>
  <c r="F118" i="24" s="1"/>
  <c r="F119" i="24" s="1"/>
  <c r="F120" i="24" s="1"/>
  <c r="F121" i="24" s="1"/>
  <c r="F122" i="24" s="1"/>
  <c r="F123" i="24" s="1"/>
  <c r="F124" i="24" s="1"/>
  <c r="F125" i="24" s="1"/>
  <c r="F126" i="24" s="1"/>
  <c r="F127" i="24" s="1"/>
  <c r="F128" i="24" s="1"/>
  <c r="F129" i="24" s="1"/>
  <c r="F130" i="24" s="1"/>
  <c r="F131" i="24" s="1"/>
  <c r="F132" i="24" s="1"/>
  <c r="F133" i="24" s="1"/>
  <c r="F134" i="24" s="1"/>
  <c r="F135" i="24" s="1"/>
  <c r="F136" i="24" s="1"/>
  <c r="F137" i="24" s="1"/>
  <c r="F138" i="24" s="1"/>
  <c r="I76" i="27"/>
  <c r="K76" i="27" s="1"/>
  <c r="F72" i="28"/>
  <c r="G72" i="28" s="1"/>
  <c r="B73" i="28"/>
  <c r="E95" i="28"/>
  <c r="M76" i="27"/>
  <c r="C76" i="27"/>
  <c r="B78" i="27"/>
  <c r="G77" i="27"/>
  <c r="I36" i="24"/>
  <c r="K36" i="24" s="1"/>
  <c r="G37" i="24"/>
  <c r="B38" i="24"/>
  <c r="C36" i="24"/>
  <c r="B94" i="36" l="1"/>
  <c r="F93" i="36"/>
  <c r="G93" i="36" s="1"/>
  <c r="F90" i="34"/>
  <c r="G90" i="34" s="1"/>
  <c r="B91" i="34"/>
  <c r="D105" i="33"/>
  <c r="F83" i="33"/>
  <c r="G83" i="33" s="1"/>
  <c r="B84" i="33"/>
  <c r="I104" i="33"/>
  <c r="Q7" i="33" s="1"/>
  <c r="K25" i="6" s="1"/>
  <c r="L136" i="24"/>
  <c r="X3" i="24" s="1"/>
  <c r="G11" i="6" s="1"/>
  <c r="E138" i="24"/>
  <c r="E139" i="24" s="1"/>
  <c r="E140" i="24" s="1"/>
  <c r="E141" i="24" s="1"/>
  <c r="E142" i="24" s="1"/>
  <c r="E143" i="24" s="1"/>
  <c r="E144" i="24" s="1"/>
  <c r="E145" i="24" s="1"/>
  <c r="E146" i="24" s="1"/>
  <c r="E147" i="24" s="1"/>
  <c r="E148" i="24" s="1"/>
  <c r="E149" i="24" s="1"/>
  <c r="E96" i="28"/>
  <c r="F73" i="28"/>
  <c r="G73" i="28" s="1"/>
  <c r="B74" i="28"/>
  <c r="D96" i="28"/>
  <c r="D97" i="28" s="1"/>
  <c r="I77" i="27"/>
  <c r="K77" i="27" s="1"/>
  <c r="B79" i="27"/>
  <c r="G78" i="27"/>
  <c r="C77" i="27"/>
  <c r="N66" i="27"/>
  <c r="S25" i="27"/>
  <c r="I37" i="24"/>
  <c r="K37" i="24" s="1"/>
  <c r="G38" i="24"/>
  <c r="C37" i="24"/>
  <c r="B39" i="24"/>
  <c r="F94" i="36" l="1"/>
  <c r="B95" i="36"/>
  <c r="B92" i="34"/>
  <c r="F91" i="34"/>
  <c r="G91" i="34" s="1"/>
  <c r="D106" i="33"/>
  <c r="B85" i="33"/>
  <c r="F84" i="33"/>
  <c r="E150" i="24"/>
  <c r="E151" i="24" s="1"/>
  <c r="E152" i="24" s="1"/>
  <c r="E153" i="24" s="1"/>
  <c r="E154" i="24" s="1"/>
  <c r="E155" i="24" s="1"/>
  <c r="E156" i="24" s="1"/>
  <c r="E157" i="24" s="1"/>
  <c r="E158" i="24" s="1"/>
  <c r="E159" i="24" s="1"/>
  <c r="E160" i="24" s="1"/>
  <c r="E161" i="24" s="1"/>
  <c r="F139" i="24"/>
  <c r="F140" i="24" s="1"/>
  <c r="F141" i="24" s="1"/>
  <c r="F142" i="24" s="1"/>
  <c r="F143" i="24" s="1"/>
  <c r="F144" i="24" s="1"/>
  <c r="F145" i="24" s="1"/>
  <c r="F146" i="24" s="1"/>
  <c r="F147" i="24" s="1"/>
  <c r="F148" i="24" s="1"/>
  <c r="F149" i="24" s="1"/>
  <c r="F150" i="24" s="1"/>
  <c r="F151" i="24" s="1"/>
  <c r="F152" i="24" s="1"/>
  <c r="F153" i="24" s="1"/>
  <c r="F154" i="24" s="1"/>
  <c r="F155" i="24" s="1"/>
  <c r="F156" i="24" s="1"/>
  <c r="F157" i="24" s="1"/>
  <c r="F158" i="24" s="1"/>
  <c r="F159" i="24" s="1"/>
  <c r="F160" i="24" s="1"/>
  <c r="F161" i="24" s="1"/>
  <c r="F162" i="24" s="1"/>
  <c r="L148" i="24"/>
  <c r="Y3" i="24" s="1"/>
  <c r="H11" i="6" s="1"/>
  <c r="I78" i="27"/>
  <c r="K78" i="27" s="1"/>
  <c r="B75" i="28"/>
  <c r="F74" i="28"/>
  <c r="E97" i="28"/>
  <c r="C78" i="27"/>
  <c r="B80" i="27"/>
  <c r="G79" i="27"/>
  <c r="I38" i="24"/>
  <c r="K38" i="24" s="1"/>
  <c r="B40" i="24"/>
  <c r="C38" i="24"/>
  <c r="G39" i="24"/>
  <c r="F95" i="36" l="1"/>
  <c r="B96" i="36"/>
  <c r="G94" i="36"/>
  <c r="J94" i="36"/>
  <c r="P8" i="36" s="1"/>
  <c r="L34" i="6" s="1"/>
  <c r="F92" i="34"/>
  <c r="B93" i="34"/>
  <c r="D107" i="33"/>
  <c r="G84" i="33"/>
  <c r="F85" i="33"/>
  <c r="G85" i="33" s="1"/>
  <c r="B86" i="33"/>
  <c r="L160" i="24"/>
  <c r="Z3" i="24" s="1"/>
  <c r="I11" i="6" s="1"/>
  <c r="E162" i="24"/>
  <c r="E163" i="24" s="1"/>
  <c r="E164" i="24" s="1"/>
  <c r="E165" i="24" s="1"/>
  <c r="E166" i="24" s="1"/>
  <c r="E167" i="24" s="1"/>
  <c r="E168" i="24" s="1"/>
  <c r="E169" i="24" s="1"/>
  <c r="E170" i="24" s="1"/>
  <c r="E171" i="24" s="1"/>
  <c r="E172" i="24" s="1"/>
  <c r="E173" i="24" s="1"/>
  <c r="I79" i="27"/>
  <c r="K79" i="27" s="1"/>
  <c r="E98" i="28"/>
  <c r="D98" i="28"/>
  <c r="D99" i="28" s="1"/>
  <c r="G74" i="28"/>
  <c r="J74" i="28"/>
  <c r="P8" i="28" s="1"/>
  <c r="G21" i="6" s="1"/>
  <c r="F75" i="28"/>
  <c r="B76" i="28"/>
  <c r="C79" i="27"/>
  <c r="B81" i="27"/>
  <c r="G80" i="27"/>
  <c r="I39" i="24"/>
  <c r="K39" i="24" s="1"/>
  <c r="G40" i="24"/>
  <c r="C39" i="24"/>
  <c r="B41" i="24"/>
  <c r="G41" i="24" s="1"/>
  <c r="L32" i="6" l="1"/>
  <c r="B97" i="36"/>
  <c r="F96" i="36"/>
  <c r="G96" i="36" s="1"/>
  <c r="G95" i="36"/>
  <c r="B94" i="34"/>
  <c r="F93" i="34"/>
  <c r="G92" i="34"/>
  <c r="J92" i="34"/>
  <c r="K30" i="6" s="1"/>
  <c r="K28" i="6" s="1"/>
  <c r="G19" i="6"/>
  <c r="H36" i="2"/>
  <c r="B87" i="33"/>
  <c r="F86" i="33"/>
  <c r="E108" i="33"/>
  <c r="D108" i="33"/>
  <c r="E174" i="24"/>
  <c r="E175" i="24" s="1"/>
  <c r="E176" i="24" s="1"/>
  <c r="E177" i="24" s="1"/>
  <c r="E178" i="24" s="1"/>
  <c r="E179" i="24" s="1"/>
  <c r="E180" i="24" s="1"/>
  <c r="E181" i="24" s="1"/>
  <c r="E182" i="24" s="1"/>
  <c r="E183" i="24" s="1"/>
  <c r="E184" i="24" s="1"/>
  <c r="E185" i="24" s="1"/>
  <c r="L172" i="24"/>
  <c r="F163" i="24"/>
  <c r="F164" i="24" s="1"/>
  <c r="F165" i="24" s="1"/>
  <c r="F166" i="24" s="1"/>
  <c r="F167" i="24" s="1"/>
  <c r="F168" i="24" s="1"/>
  <c r="F169" i="24" s="1"/>
  <c r="F170" i="24" s="1"/>
  <c r="F171" i="24" s="1"/>
  <c r="F172" i="24" s="1"/>
  <c r="F173" i="24" s="1"/>
  <c r="F174" i="24" s="1"/>
  <c r="I80" i="27"/>
  <c r="K80" i="27" s="1"/>
  <c r="F76" i="28"/>
  <c r="G76" i="28" s="1"/>
  <c r="B77" i="28"/>
  <c r="G75" i="28"/>
  <c r="E99" i="28"/>
  <c r="I98" i="28"/>
  <c r="R7" i="28" s="1"/>
  <c r="I20" i="6" s="1"/>
  <c r="C80" i="27"/>
  <c r="B82" i="27"/>
  <c r="G81" i="27"/>
  <c r="I40" i="24"/>
  <c r="K40" i="24" s="1"/>
  <c r="M40" i="24"/>
  <c r="B42" i="24"/>
  <c r="G42" i="24" s="1"/>
  <c r="C40" i="24"/>
  <c r="B98" i="36" l="1"/>
  <c r="F97" i="36"/>
  <c r="G93" i="34"/>
  <c r="F94" i="34"/>
  <c r="G94" i="34" s="1"/>
  <c r="B95" i="34"/>
  <c r="D109" i="33"/>
  <c r="G86" i="33"/>
  <c r="F87" i="33"/>
  <c r="G87" i="33" s="1"/>
  <c r="B88" i="33"/>
  <c r="F175" i="24"/>
  <c r="F176" i="24" s="1"/>
  <c r="F177" i="24" s="1"/>
  <c r="F178" i="24" s="1"/>
  <c r="F179" i="24" s="1"/>
  <c r="F180" i="24" s="1"/>
  <c r="F181" i="24" s="1"/>
  <c r="F182" i="24" s="1"/>
  <c r="F183" i="24" s="1"/>
  <c r="F184" i="24" s="1"/>
  <c r="F185" i="24" s="1"/>
  <c r="F186" i="24" s="1"/>
  <c r="F187" i="24" s="1"/>
  <c r="L184" i="24"/>
  <c r="AB3" i="24" s="1"/>
  <c r="K11" i="6" s="1"/>
  <c r="AA3" i="24"/>
  <c r="E186" i="24"/>
  <c r="E100" i="28"/>
  <c r="F77" i="28"/>
  <c r="B78" i="28"/>
  <c r="D100" i="28"/>
  <c r="I81" i="27"/>
  <c r="K81" i="27" s="1"/>
  <c r="C81" i="27"/>
  <c r="B83" i="27"/>
  <c r="G82" i="27"/>
  <c r="I82" i="27" s="1"/>
  <c r="K82" i="27" s="1"/>
  <c r="P4" i="24"/>
  <c r="I41" i="24"/>
  <c r="K41" i="24" s="1"/>
  <c r="I42" i="24"/>
  <c r="K42" i="24" s="1"/>
  <c r="C41" i="24"/>
  <c r="B43" i="24"/>
  <c r="G97" i="36" l="1"/>
  <c r="B99" i="36"/>
  <c r="F98" i="36"/>
  <c r="G98" i="36" s="1"/>
  <c r="B96" i="34"/>
  <c r="F95" i="34"/>
  <c r="G95" i="34" s="1"/>
  <c r="D110" i="33"/>
  <c r="B89" i="33"/>
  <c r="F88" i="33"/>
  <c r="G88" i="33" s="1"/>
  <c r="E110" i="33"/>
  <c r="E187" i="24"/>
  <c r="E188" i="24" s="1"/>
  <c r="E189" i="24" s="1"/>
  <c r="E190" i="24" s="1"/>
  <c r="E191" i="24" s="1"/>
  <c r="E192" i="24" s="1"/>
  <c r="E193" i="24" s="1"/>
  <c r="E194" i="24" s="1"/>
  <c r="E195" i="24" s="1"/>
  <c r="E196" i="24" s="1"/>
  <c r="J11" i="6"/>
  <c r="F78" i="28"/>
  <c r="G78" i="28" s="1"/>
  <c r="B79" i="28"/>
  <c r="G77" i="28"/>
  <c r="E101" i="28"/>
  <c r="D101" i="28"/>
  <c r="D102" i="28" s="1"/>
  <c r="C82" i="27"/>
  <c r="B84" i="27"/>
  <c r="G83" i="27"/>
  <c r="G43" i="24"/>
  <c r="B44" i="24"/>
  <c r="C42" i="24"/>
  <c r="F99" i="36" l="1"/>
  <c r="G99" i="36" s="1"/>
  <c r="B100" i="36"/>
  <c r="B97" i="34"/>
  <c r="F96" i="34"/>
  <c r="D111" i="33"/>
  <c r="E111" i="33"/>
  <c r="F89" i="33"/>
  <c r="G89" i="33" s="1"/>
  <c r="B90" i="33"/>
  <c r="L194" i="24"/>
  <c r="F188" i="24"/>
  <c r="F189" i="24" s="1"/>
  <c r="F190" i="24" s="1"/>
  <c r="F191" i="24" s="1"/>
  <c r="F192" i="24" s="1"/>
  <c r="F193" i="24" s="1"/>
  <c r="F194" i="24" s="1"/>
  <c r="F195" i="24" s="1"/>
  <c r="F196" i="24" s="1"/>
  <c r="E197" i="24"/>
  <c r="I83" i="27"/>
  <c r="K83" i="27" s="1"/>
  <c r="F79" i="28"/>
  <c r="B80" i="28"/>
  <c r="E102" i="28"/>
  <c r="D103" i="28" s="1"/>
  <c r="C83" i="27"/>
  <c r="B85" i="27"/>
  <c r="G84" i="27"/>
  <c r="I43" i="24"/>
  <c r="K43" i="24" s="1"/>
  <c r="G44" i="24"/>
  <c r="C43" i="24"/>
  <c r="B45" i="24"/>
  <c r="B101" i="36" l="1"/>
  <c r="F100" i="36"/>
  <c r="G96" i="34"/>
  <c r="F97" i="34"/>
  <c r="G97" i="34" s="1"/>
  <c r="B98" i="34"/>
  <c r="B91" i="33"/>
  <c r="F90" i="33"/>
  <c r="G90" i="33" s="1"/>
  <c r="E112" i="33"/>
  <c r="D112" i="33"/>
  <c r="AC3" i="24"/>
  <c r="L197" i="24"/>
  <c r="I84" i="27"/>
  <c r="K84" i="27" s="1"/>
  <c r="E103" i="28"/>
  <c r="F80" i="28"/>
  <c r="G80" i="28" s="1"/>
  <c r="B81" i="28"/>
  <c r="G79" i="28"/>
  <c r="C84" i="27"/>
  <c r="B86" i="27"/>
  <c r="G85" i="27"/>
  <c r="I85" i="27" s="1"/>
  <c r="K85" i="27" s="1"/>
  <c r="I44" i="24"/>
  <c r="K44" i="24" s="1"/>
  <c r="G45" i="24"/>
  <c r="B46" i="24"/>
  <c r="C44" i="24"/>
  <c r="G100" i="36" l="1"/>
  <c r="B102" i="36"/>
  <c r="F101" i="36"/>
  <c r="G101" i="36" s="1"/>
  <c r="F98" i="34"/>
  <c r="G98" i="34" s="1"/>
  <c r="B99" i="34"/>
  <c r="E113" i="33"/>
  <c r="D113" i="33"/>
  <c r="F91" i="33"/>
  <c r="G91" i="33" s="1"/>
  <c r="B92" i="33"/>
  <c r="L11" i="6"/>
  <c r="AE3" i="24"/>
  <c r="E104" i="28"/>
  <c r="F81" i="28"/>
  <c r="G81" i="28" s="1"/>
  <c r="B82" i="28"/>
  <c r="D104" i="28"/>
  <c r="D105" i="28" s="1"/>
  <c r="C85" i="27"/>
  <c r="B87" i="27"/>
  <c r="G86" i="27"/>
  <c r="I45" i="24"/>
  <c r="K45" i="24" s="1"/>
  <c r="G46" i="24"/>
  <c r="C45" i="24"/>
  <c r="B47" i="24"/>
  <c r="F102" i="36" l="1"/>
  <c r="G102" i="36" s="1"/>
  <c r="B103" i="36"/>
  <c r="B100" i="34"/>
  <c r="F99" i="34"/>
  <c r="D114" i="33"/>
  <c r="B93" i="33"/>
  <c r="F92" i="33"/>
  <c r="E114" i="33"/>
  <c r="I86" i="27"/>
  <c r="K86" i="27" s="1"/>
  <c r="E105" i="28"/>
  <c r="F82" i="28"/>
  <c r="G82" i="28" s="1"/>
  <c r="B83" i="28"/>
  <c r="C86" i="27"/>
  <c r="B88" i="27"/>
  <c r="G87" i="27"/>
  <c r="I46" i="24"/>
  <c r="K46" i="24" s="1"/>
  <c r="B48" i="24"/>
  <c r="C46" i="24"/>
  <c r="G47" i="24"/>
  <c r="B104" i="36" l="1"/>
  <c r="F103" i="36"/>
  <c r="G103" i="36" s="1"/>
  <c r="G99" i="34"/>
  <c r="F100" i="34"/>
  <c r="G100" i="34" s="1"/>
  <c r="B101" i="34"/>
  <c r="D115" i="33"/>
  <c r="E115" i="33"/>
  <c r="G92" i="33"/>
  <c r="J92" i="33"/>
  <c r="P8" i="33" s="1"/>
  <c r="J26" i="6" s="1"/>
  <c r="B94" i="33"/>
  <c r="F93" i="33"/>
  <c r="I87" i="27"/>
  <c r="K87" i="27" s="1"/>
  <c r="E106" i="28"/>
  <c r="F83" i="28"/>
  <c r="G83" i="28" s="1"/>
  <c r="B84" i="28"/>
  <c r="D106" i="28"/>
  <c r="D107" i="28" s="1"/>
  <c r="B89" i="27"/>
  <c r="C87" i="27"/>
  <c r="G88" i="27"/>
  <c r="I12" i="11" s="1"/>
  <c r="I47" i="24"/>
  <c r="K47" i="24" s="1"/>
  <c r="G48" i="24"/>
  <c r="C47" i="24"/>
  <c r="B49" i="24"/>
  <c r="B105" i="36" l="1"/>
  <c r="F104" i="36"/>
  <c r="G104" i="36" s="1"/>
  <c r="F101" i="34"/>
  <c r="G101" i="34" s="1"/>
  <c r="B102" i="34"/>
  <c r="J24" i="6"/>
  <c r="B95" i="33"/>
  <c r="F94" i="33"/>
  <c r="G94" i="33" s="1"/>
  <c r="E116" i="33"/>
  <c r="E117" i="33" s="1"/>
  <c r="E118" i="33" s="1"/>
  <c r="G93" i="33"/>
  <c r="D116" i="33"/>
  <c r="F84" i="28"/>
  <c r="G84" i="28" s="1"/>
  <c r="B85" i="28"/>
  <c r="E107" i="28"/>
  <c r="D108" i="28" s="1"/>
  <c r="I88" i="27"/>
  <c r="K88" i="27" s="1"/>
  <c r="M88" i="27"/>
  <c r="B90" i="27"/>
  <c r="G89" i="27"/>
  <c r="C88" i="27"/>
  <c r="I48" i="24"/>
  <c r="K48" i="24" s="1"/>
  <c r="B50" i="24"/>
  <c r="C48" i="24"/>
  <c r="G49" i="24"/>
  <c r="F105" i="36" l="1"/>
  <c r="G105" i="36" s="1"/>
  <c r="B106" i="36"/>
  <c r="B103" i="34"/>
  <c r="F102" i="34"/>
  <c r="G102" i="34" s="1"/>
  <c r="D117" i="33"/>
  <c r="I116" i="33"/>
  <c r="R7" i="33" s="1"/>
  <c r="L25" i="6" s="1"/>
  <c r="F95" i="33"/>
  <c r="B96" i="33"/>
  <c r="E108" i="28"/>
  <c r="F85" i="28"/>
  <c r="G85" i="28" s="1"/>
  <c r="B86" i="28"/>
  <c r="I89" i="27"/>
  <c r="K89" i="27" s="1"/>
  <c r="C89" i="27"/>
  <c r="B91" i="27"/>
  <c r="G90" i="27"/>
  <c r="I90" i="27" s="1"/>
  <c r="K90" i="27" s="1"/>
  <c r="O66" i="27"/>
  <c r="T25" i="27"/>
  <c r="I49" i="24"/>
  <c r="K49" i="24" s="1"/>
  <c r="G50" i="24"/>
  <c r="I50" i="24" s="1"/>
  <c r="K50" i="24" s="1"/>
  <c r="C49" i="24"/>
  <c r="B51" i="24"/>
  <c r="B107" i="36" l="1"/>
  <c r="F106" i="36"/>
  <c r="F103" i="34"/>
  <c r="G103" i="34" s="1"/>
  <c r="B104" i="34"/>
  <c r="F96" i="33"/>
  <c r="G96" i="33" s="1"/>
  <c r="B97" i="33"/>
  <c r="G95" i="33"/>
  <c r="D118" i="33"/>
  <c r="D119" i="33" s="1"/>
  <c r="F86" i="28"/>
  <c r="B87" i="28"/>
  <c r="E109" i="28"/>
  <c r="D109" i="28"/>
  <c r="C90" i="27"/>
  <c r="B92" i="27"/>
  <c r="G91" i="27"/>
  <c r="I91" i="27" s="1"/>
  <c r="K91" i="27" s="1"/>
  <c r="G51" i="24"/>
  <c r="B52" i="24"/>
  <c r="C50" i="24"/>
  <c r="G106" i="36" l="1"/>
  <c r="J106" i="36"/>
  <c r="Q8" i="36" s="1"/>
  <c r="M34" i="6" s="1"/>
  <c r="F107" i="36"/>
  <c r="B108" i="36"/>
  <c r="B105" i="34"/>
  <c r="F104" i="34"/>
  <c r="F97" i="33"/>
  <c r="G97" i="33" s="1"/>
  <c r="B98" i="33"/>
  <c r="D110" i="28"/>
  <c r="D111" i="28" s="1"/>
  <c r="E110" i="28"/>
  <c r="F87" i="28"/>
  <c r="B88" i="28"/>
  <c r="G86" i="28"/>
  <c r="J86" i="28"/>
  <c r="Q8" i="28" s="1"/>
  <c r="H21" i="6" s="1"/>
  <c r="C91" i="27"/>
  <c r="B93" i="27"/>
  <c r="G92" i="27"/>
  <c r="I92" i="27" s="1"/>
  <c r="K92" i="27" s="1"/>
  <c r="I51" i="24"/>
  <c r="K51" i="24" s="1"/>
  <c r="G52" i="24"/>
  <c r="C51" i="24"/>
  <c r="B53" i="24"/>
  <c r="M32" i="6" l="1"/>
  <c r="B109" i="36"/>
  <c r="F108" i="36"/>
  <c r="G108" i="36" s="1"/>
  <c r="G107" i="36"/>
  <c r="G104" i="34"/>
  <c r="J104" i="34"/>
  <c r="L30" i="6" s="1"/>
  <c r="L28" i="6" s="1"/>
  <c r="B106" i="34"/>
  <c r="F105" i="34"/>
  <c r="H19" i="6"/>
  <c r="I36" i="2"/>
  <c r="E120" i="33"/>
  <c r="F98" i="33"/>
  <c r="B99" i="33"/>
  <c r="D120" i="33"/>
  <c r="D112" i="28"/>
  <c r="G87" i="28"/>
  <c r="F88" i="28"/>
  <c r="G88" i="28" s="1"/>
  <c r="B89" i="28"/>
  <c r="E111" i="28"/>
  <c r="I110" i="28"/>
  <c r="S7" i="28" s="1"/>
  <c r="J20" i="6" s="1"/>
  <c r="C92" i="27"/>
  <c r="B94" i="27"/>
  <c r="G93" i="27"/>
  <c r="I52" i="24"/>
  <c r="K52" i="24" s="1"/>
  <c r="M52" i="24"/>
  <c r="G53" i="24"/>
  <c r="C52" i="24"/>
  <c r="B54" i="24"/>
  <c r="F109" i="36" l="1"/>
  <c r="B110" i="36"/>
  <c r="G105" i="34"/>
  <c r="F106" i="34"/>
  <c r="G106" i="34" s="1"/>
  <c r="B107" i="34"/>
  <c r="D121" i="33"/>
  <c r="F99" i="33"/>
  <c r="G99" i="33" s="1"/>
  <c r="B100" i="33"/>
  <c r="G98" i="33"/>
  <c r="F89" i="28"/>
  <c r="G89" i="28" s="1"/>
  <c r="B90" i="28"/>
  <c r="E112" i="28"/>
  <c r="D113" i="28" s="1"/>
  <c r="C93" i="27"/>
  <c r="B95" i="27"/>
  <c r="G94" i="27"/>
  <c r="I94" i="27" s="1"/>
  <c r="K94" i="27" s="1"/>
  <c r="I93" i="27"/>
  <c r="K93" i="27" s="1"/>
  <c r="Q4" i="24"/>
  <c r="I53" i="24"/>
  <c r="K53" i="24" s="1"/>
  <c r="G54" i="24"/>
  <c r="C53" i="24"/>
  <c r="B55" i="24"/>
  <c r="B111" i="36" l="1"/>
  <c r="F110" i="36"/>
  <c r="G110" i="36" s="1"/>
  <c r="G109" i="36"/>
  <c r="B108" i="34"/>
  <c r="F107" i="34"/>
  <c r="G107" i="34" s="1"/>
  <c r="F100" i="33"/>
  <c r="B101" i="33"/>
  <c r="E122" i="33"/>
  <c r="D122" i="33"/>
  <c r="F90" i="28"/>
  <c r="B91" i="28"/>
  <c r="E113" i="28"/>
  <c r="C94" i="27"/>
  <c r="B96" i="27"/>
  <c r="G95" i="27"/>
  <c r="I95" i="27" s="1"/>
  <c r="K95" i="27" s="1"/>
  <c r="I54" i="24"/>
  <c r="K54" i="24" s="1"/>
  <c r="G55" i="24"/>
  <c r="I55" i="24" s="1"/>
  <c r="K55" i="24" s="1"/>
  <c r="C54" i="24"/>
  <c r="B56" i="24"/>
  <c r="F111" i="36" l="1"/>
  <c r="G111" i="36" s="1"/>
  <c r="B112" i="36"/>
  <c r="F108" i="34"/>
  <c r="B109" i="34"/>
  <c r="F101" i="33"/>
  <c r="G101" i="33" s="1"/>
  <c r="B102" i="33"/>
  <c r="D123" i="33"/>
  <c r="G100" i="33"/>
  <c r="E123" i="33"/>
  <c r="E114" i="28"/>
  <c r="F91" i="28"/>
  <c r="G91" i="28" s="1"/>
  <c r="B92" i="28"/>
  <c r="G90" i="28"/>
  <c r="D114" i="28"/>
  <c r="D115" i="28" s="1"/>
  <c r="C95" i="27"/>
  <c r="B97" i="27"/>
  <c r="G96" i="27"/>
  <c r="I96" i="27" s="1"/>
  <c r="K96" i="27" s="1"/>
  <c r="G56" i="24"/>
  <c r="C55" i="24"/>
  <c r="B57" i="24"/>
  <c r="F112" i="36" l="1"/>
  <c r="G112" i="36" s="1"/>
  <c r="B113" i="36"/>
  <c r="B110" i="34"/>
  <c r="F109" i="34"/>
  <c r="G109" i="34" s="1"/>
  <c r="G108" i="34"/>
  <c r="D124" i="33"/>
  <c r="F102" i="33"/>
  <c r="G102" i="33" s="1"/>
  <c r="B103" i="33"/>
  <c r="E124" i="33"/>
  <c r="F92" i="28"/>
  <c r="G92" i="28" s="1"/>
  <c r="B93" i="28"/>
  <c r="E115" i="28"/>
  <c r="D116" i="28" s="1"/>
  <c r="C96" i="27"/>
  <c r="B98" i="27"/>
  <c r="G97" i="27"/>
  <c r="I97" i="27" s="1"/>
  <c r="K97" i="27" s="1"/>
  <c r="I56" i="24"/>
  <c r="K56" i="24" s="1"/>
  <c r="G57" i="24"/>
  <c r="C56" i="24"/>
  <c r="B58" i="24"/>
  <c r="F113" i="36" l="1"/>
  <c r="B114" i="36"/>
  <c r="B111" i="34"/>
  <c r="F110" i="34"/>
  <c r="F103" i="33"/>
  <c r="G103" i="33" s="1"/>
  <c r="B104" i="33"/>
  <c r="E125" i="33"/>
  <c r="D125" i="33"/>
  <c r="F93" i="28"/>
  <c r="B94" i="28"/>
  <c r="E116" i="28"/>
  <c r="C97" i="27"/>
  <c r="B99" i="27"/>
  <c r="G98" i="27"/>
  <c r="I98" i="27" s="1"/>
  <c r="K98" i="27" s="1"/>
  <c r="I57" i="24"/>
  <c r="K57" i="24" s="1"/>
  <c r="G58" i="24"/>
  <c r="C57" i="24"/>
  <c r="B59" i="24"/>
  <c r="G59" i="24" s="1"/>
  <c r="B115" i="36" l="1"/>
  <c r="F114" i="36"/>
  <c r="G114" i="36" s="1"/>
  <c r="G113" i="36"/>
  <c r="G110" i="34"/>
  <c r="B112" i="34"/>
  <c r="F111" i="34"/>
  <c r="G111" i="34" s="1"/>
  <c r="E126" i="33"/>
  <c r="F104" i="33"/>
  <c r="B105" i="33"/>
  <c r="D126" i="33"/>
  <c r="F94" i="28"/>
  <c r="G94" i="28" s="1"/>
  <c r="B95" i="28"/>
  <c r="E117" i="28"/>
  <c r="G93" i="28"/>
  <c r="D117" i="28"/>
  <c r="C98" i="27"/>
  <c r="B100" i="27"/>
  <c r="G99" i="27"/>
  <c r="I99" i="27" s="1"/>
  <c r="K99" i="27" s="1"/>
  <c r="I58" i="24"/>
  <c r="K58" i="24" s="1"/>
  <c r="C58" i="24"/>
  <c r="B60" i="24"/>
  <c r="F115" i="36" l="1"/>
  <c r="G115" i="36" s="1"/>
  <c r="B116" i="36"/>
  <c r="B113" i="34"/>
  <c r="F112" i="34"/>
  <c r="G112" i="34" s="1"/>
  <c r="D127" i="33"/>
  <c r="G104" i="33"/>
  <c r="J104" i="33"/>
  <c r="Q8" i="33" s="1"/>
  <c r="K26" i="6" s="1"/>
  <c r="F105" i="33"/>
  <c r="B106" i="33"/>
  <c r="E127" i="33"/>
  <c r="D118" i="28"/>
  <c r="E118" i="28"/>
  <c r="F95" i="28"/>
  <c r="G95" i="28" s="1"/>
  <c r="B96" i="28"/>
  <c r="C99" i="27"/>
  <c r="G100" i="27"/>
  <c r="B101" i="27"/>
  <c r="I59" i="24"/>
  <c r="K59" i="24" s="1"/>
  <c r="G60" i="24"/>
  <c r="C59" i="24"/>
  <c r="B61" i="24"/>
  <c r="B117" i="36" l="1"/>
  <c r="F116" i="36"/>
  <c r="G116" i="36" s="1"/>
  <c r="B114" i="34"/>
  <c r="F113" i="34"/>
  <c r="G113" i="34" s="1"/>
  <c r="K24" i="6"/>
  <c r="G105" i="33"/>
  <c r="F106" i="33"/>
  <c r="G106" i="33" s="1"/>
  <c r="B107" i="33"/>
  <c r="E128" i="33"/>
  <c r="E129" i="33" s="1"/>
  <c r="E130" i="33" s="1"/>
  <c r="D128" i="33"/>
  <c r="E119" i="28"/>
  <c r="F96" i="28"/>
  <c r="G96" i="28" s="1"/>
  <c r="B97" i="28"/>
  <c r="D119" i="28"/>
  <c r="D120" i="28" s="1"/>
  <c r="B102" i="27"/>
  <c r="G101" i="27"/>
  <c r="C100" i="27"/>
  <c r="I100" i="27"/>
  <c r="K100" i="27" s="1"/>
  <c r="M100" i="27"/>
  <c r="F15" i="20" s="1"/>
  <c r="I60" i="24"/>
  <c r="K60" i="24" s="1"/>
  <c r="G61" i="24"/>
  <c r="C60" i="24"/>
  <c r="B62" i="24"/>
  <c r="B118" i="36" l="1"/>
  <c r="F117" i="36"/>
  <c r="G117" i="36" s="1"/>
  <c r="B115" i="34"/>
  <c r="F114" i="34"/>
  <c r="G114" i="34" s="1"/>
  <c r="D129" i="33"/>
  <c r="F107" i="33"/>
  <c r="G107" i="33" s="1"/>
  <c r="B108" i="33"/>
  <c r="I128" i="33"/>
  <c r="S7" i="33" s="1"/>
  <c r="M25" i="6" s="1"/>
  <c r="F97" i="28"/>
  <c r="G97" i="28" s="1"/>
  <c r="B98" i="28"/>
  <c r="E120" i="28"/>
  <c r="D121" i="28" s="1"/>
  <c r="B103" i="27"/>
  <c r="G102" i="27"/>
  <c r="I102" i="27" s="1"/>
  <c r="K102" i="27" s="1"/>
  <c r="C101" i="27"/>
  <c r="U25" i="27"/>
  <c r="P66" i="27"/>
  <c r="I101" i="27"/>
  <c r="K101" i="27" s="1"/>
  <c r="I61" i="24"/>
  <c r="K61" i="24" s="1"/>
  <c r="G62" i="24"/>
  <c r="C61" i="24"/>
  <c r="B63" i="24"/>
  <c r="B119" i="36" l="1"/>
  <c r="F118" i="36"/>
  <c r="F115" i="34"/>
  <c r="G115" i="34" s="1"/>
  <c r="B116" i="34"/>
  <c r="E34" i="2"/>
  <c r="D130" i="33"/>
  <c r="F108" i="33"/>
  <c r="B109" i="33"/>
  <c r="E121" i="28"/>
  <c r="F98" i="28"/>
  <c r="B99" i="28"/>
  <c r="B104" i="27"/>
  <c r="G103" i="27"/>
  <c r="C102" i="27"/>
  <c r="I62" i="24"/>
  <c r="K62" i="24" s="1"/>
  <c r="G63" i="24"/>
  <c r="C62" i="24"/>
  <c r="B64" i="24"/>
  <c r="G118" i="36" l="1"/>
  <c r="J118" i="36"/>
  <c r="R8" i="36" s="1"/>
  <c r="N34" i="6" s="1"/>
  <c r="B120" i="36"/>
  <c r="F119" i="36"/>
  <c r="B117" i="34"/>
  <c r="F116" i="34"/>
  <c r="E27" i="2"/>
  <c r="F109" i="33"/>
  <c r="G109" i="33" s="1"/>
  <c r="B110" i="33"/>
  <c r="G108" i="33"/>
  <c r="D131" i="33"/>
  <c r="F99" i="28"/>
  <c r="B100" i="28"/>
  <c r="E122" i="28"/>
  <c r="G98" i="28"/>
  <c r="J98" i="28"/>
  <c r="R8" i="28" s="1"/>
  <c r="I21" i="6" s="1"/>
  <c r="D122" i="28"/>
  <c r="D123" i="28" s="1"/>
  <c r="B105" i="27"/>
  <c r="G104" i="27"/>
  <c r="I104" i="27" s="1"/>
  <c r="K104" i="27" s="1"/>
  <c r="C103" i="27"/>
  <c r="I103" i="27"/>
  <c r="K103" i="27" s="1"/>
  <c r="I63" i="24"/>
  <c r="K63" i="24" s="1"/>
  <c r="G64" i="24"/>
  <c r="C63" i="24"/>
  <c r="B65" i="24"/>
  <c r="N32" i="6" l="1"/>
  <c r="G119" i="36"/>
  <c r="B121" i="36"/>
  <c r="F120" i="36"/>
  <c r="G120" i="36" s="1"/>
  <c r="G116" i="34"/>
  <c r="J116" i="34"/>
  <c r="M30" i="6" s="1"/>
  <c r="M28" i="6" s="1"/>
  <c r="F117" i="34"/>
  <c r="B118" i="34"/>
  <c r="J36" i="2"/>
  <c r="I19" i="6"/>
  <c r="D132" i="33"/>
  <c r="F110" i="33"/>
  <c r="B111" i="33"/>
  <c r="E132" i="33"/>
  <c r="E123" i="28"/>
  <c r="D124" i="28" s="1"/>
  <c r="I122" i="28"/>
  <c r="T7" i="28" s="1"/>
  <c r="K20" i="6" s="1"/>
  <c r="F100" i="28"/>
  <c r="G100" i="28" s="1"/>
  <c r="B101" i="28"/>
  <c r="G99" i="28"/>
  <c r="B106" i="27"/>
  <c r="G105" i="27"/>
  <c r="C104" i="27"/>
  <c r="I64" i="24"/>
  <c r="K64" i="24" s="1"/>
  <c r="M64" i="24"/>
  <c r="G65" i="24"/>
  <c r="C64" i="24"/>
  <c r="B66" i="24"/>
  <c r="F121" i="36" l="1"/>
  <c r="G121" i="36" s="1"/>
  <c r="B122" i="36"/>
  <c r="F118" i="34"/>
  <c r="G118" i="34" s="1"/>
  <c r="B119" i="34"/>
  <c r="G117" i="34"/>
  <c r="D133" i="33"/>
  <c r="F111" i="33"/>
  <c r="G111" i="33" s="1"/>
  <c r="B112" i="33"/>
  <c r="G110" i="33"/>
  <c r="E124" i="28"/>
  <c r="F101" i="28"/>
  <c r="B102" i="28"/>
  <c r="I105" i="27"/>
  <c r="K105" i="27" s="1"/>
  <c r="B107" i="27"/>
  <c r="G106" i="27"/>
  <c r="I106" i="27" s="1"/>
  <c r="K106" i="27" s="1"/>
  <c r="C105" i="27"/>
  <c r="R4" i="24"/>
  <c r="F14" i="20" s="1"/>
  <c r="I65" i="24"/>
  <c r="K65" i="24" s="1"/>
  <c r="B67" i="24"/>
  <c r="G66" i="24"/>
  <c r="C65" i="24"/>
  <c r="B123" i="36" l="1"/>
  <c r="F122" i="36"/>
  <c r="F119" i="34"/>
  <c r="B120" i="34"/>
  <c r="F112" i="33"/>
  <c r="B113" i="33"/>
  <c r="E134" i="33"/>
  <c r="D134" i="33"/>
  <c r="F102" i="28"/>
  <c r="G102" i="28" s="1"/>
  <c r="B103" i="28"/>
  <c r="E125" i="28"/>
  <c r="G101" i="28"/>
  <c r="D125" i="28"/>
  <c r="D126" i="28" s="1"/>
  <c r="B108" i="27"/>
  <c r="G107" i="27"/>
  <c r="I107" i="27" s="1"/>
  <c r="K107" i="27" s="1"/>
  <c r="C106" i="27"/>
  <c r="I66" i="24"/>
  <c r="K66" i="24" s="1"/>
  <c r="G67" i="24"/>
  <c r="C66" i="24"/>
  <c r="B68" i="24"/>
  <c r="G122" i="36" l="1"/>
  <c r="B124" i="36"/>
  <c r="F123" i="36"/>
  <c r="G123" i="36" s="1"/>
  <c r="F120" i="34"/>
  <c r="G120" i="34" s="1"/>
  <c r="B121" i="34"/>
  <c r="G119" i="34"/>
  <c r="F113" i="33"/>
  <c r="G113" i="33" s="1"/>
  <c r="B114" i="33"/>
  <c r="G112" i="33"/>
  <c r="E135" i="33"/>
  <c r="D135" i="33"/>
  <c r="E126" i="28"/>
  <c r="F103" i="28"/>
  <c r="B104" i="28"/>
  <c r="B109" i="27"/>
  <c r="G108" i="27"/>
  <c r="C107" i="27"/>
  <c r="I67" i="24"/>
  <c r="K67" i="24" s="1"/>
  <c r="B69" i="24"/>
  <c r="C67" i="24"/>
  <c r="G68" i="24"/>
  <c r="F124" i="36" l="1"/>
  <c r="G124" i="36" s="1"/>
  <c r="B125" i="36"/>
  <c r="B122" i="34"/>
  <c r="F121" i="34"/>
  <c r="D136" i="33"/>
  <c r="F114" i="33"/>
  <c r="G114" i="33" s="1"/>
  <c r="B115" i="33"/>
  <c r="E136" i="33"/>
  <c r="E127" i="28"/>
  <c r="F104" i="28"/>
  <c r="G104" i="28" s="1"/>
  <c r="B105" i="28"/>
  <c r="G103" i="28"/>
  <c r="D127" i="28"/>
  <c r="D128" i="28" s="1"/>
  <c r="I108" i="27"/>
  <c r="K108" i="27" s="1"/>
  <c r="B110" i="27"/>
  <c r="G109" i="27"/>
  <c r="I109" i="27" s="1"/>
  <c r="K109" i="27" s="1"/>
  <c r="C108" i="27"/>
  <c r="I68" i="24"/>
  <c r="K68" i="24" s="1"/>
  <c r="G69" i="24"/>
  <c r="C68" i="24"/>
  <c r="B70" i="24"/>
  <c r="B126" i="36" l="1"/>
  <c r="F125" i="36"/>
  <c r="G121" i="34"/>
  <c r="B123" i="34"/>
  <c r="F122" i="34"/>
  <c r="G122" i="34" s="1"/>
  <c r="F115" i="33"/>
  <c r="G115" i="33" s="1"/>
  <c r="B116" i="33"/>
  <c r="E137" i="33"/>
  <c r="D137" i="33"/>
  <c r="F105" i="28"/>
  <c r="G105" i="28" s="1"/>
  <c r="B106" i="28"/>
  <c r="E128" i="28"/>
  <c r="D129" i="28" s="1"/>
  <c r="B111" i="27"/>
  <c r="G110" i="27"/>
  <c r="I110" i="27" s="1"/>
  <c r="K110" i="27" s="1"/>
  <c r="C109" i="27"/>
  <c r="I69" i="24"/>
  <c r="K69" i="24" s="1"/>
  <c r="G70" i="24"/>
  <c r="B71" i="24"/>
  <c r="C69" i="24"/>
  <c r="G125" i="36" l="1"/>
  <c r="F126" i="36"/>
  <c r="G126" i="36" s="1"/>
  <c r="B127" i="36"/>
  <c r="B124" i="34"/>
  <c r="F123" i="34"/>
  <c r="G123" i="34" s="1"/>
  <c r="E138" i="33"/>
  <c r="F116" i="33"/>
  <c r="B117" i="33"/>
  <c r="D138" i="33"/>
  <c r="F106" i="28"/>
  <c r="B107" i="28"/>
  <c r="E129" i="28"/>
  <c r="B112" i="27"/>
  <c r="G111" i="27"/>
  <c r="I111" i="27" s="1"/>
  <c r="K111" i="27" s="1"/>
  <c r="C110" i="27"/>
  <c r="I70" i="24"/>
  <c r="K70" i="24" s="1"/>
  <c r="G71" i="24"/>
  <c r="C70" i="24"/>
  <c r="B72" i="24"/>
  <c r="F127" i="36" l="1"/>
  <c r="G127" i="36" s="1"/>
  <c r="B128" i="36"/>
  <c r="B125" i="34"/>
  <c r="F124" i="34"/>
  <c r="D139" i="33"/>
  <c r="F117" i="33"/>
  <c r="B118" i="33"/>
  <c r="G116" i="33"/>
  <c r="J116" i="33"/>
  <c r="R8" i="33" s="1"/>
  <c r="L26" i="6" s="1"/>
  <c r="E139" i="33"/>
  <c r="E130" i="28"/>
  <c r="F107" i="28"/>
  <c r="G107" i="28" s="1"/>
  <c r="B108" i="28"/>
  <c r="G106" i="28"/>
  <c r="D130" i="28"/>
  <c r="D131" i="28" s="1"/>
  <c r="B113" i="27"/>
  <c r="G112" i="27"/>
  <c r="C111" i="27"/>
  <c r="I71" i="24"/>
  <c r="K71" i="24" s="1"/>
  <c r="B73" i="24"/>
  <c r="C71" i="24"/>
  <c r="G72" i="24"/>
  <c r="F128" i="36" l="1"/>
  <c r="G128" i="36" s="1"/>
  <c r="B129" i="36"/>
  <c r="G124" i="34"/>
  <c r="F125" i="34"/>
  <c r="G125" i="34" s="1"/>
  <c r="B126" i="34"/>
  <c r="L24" i="6"/>
  <c r="F118" i="33"/>
  <c r="G118" i="33" s="1"/>
  <c r="B119" i="33"/>
  <c r="E140" i="33"/>
  <c r="D140" i="33"/>
  <c r="G117" i="33"/>
  <c r="F108" i="28"/>
  <c r="G108" i="28" s="1"/>
  <c r="B109" i="28"/>
  <c r="E131" i="28"/>
  <c r="D132" i="28" s="1"/>
  <c r="I72" i="24"/>
  <c r="K72" i="24" s="1"/>
  <c r="I112" i="27"/>
  <c r="K112" i="27" s="1"/>
  <c r="M112" i="27"/>
  <c r="B114" i="27"/>
  <c r="G113" i="27"/>
  <c r="C112" i="27"/>
  <c r="G73" i="24"/>
  <c r="I73" i="24" s="1"/>
  <c r="K73" i="24" s="1"/>
  <c r="C72" i="24"/>
  <c r="B74" i="24"/>
  <c r="B130" i="36" l="1"/>
  <c r="F129" i="36"/>
  <c r="G129" i="36" s="1"/>
  <c r="F126" i="34"/>
  <c r="G126" i="34" s="1"/>
  <c r="B127" i="34"/>
  <c r="I140" i="33"/>
  <c r="T7" i="33" s="1"/>
  <c r="N25" i="6" s="1"/>
  <c r="E141" i="33"/>
  <c r="E142" i="33" s="1"/>
  <c r="D141" i="33"/>
  <c r="F119" i="33"/>
  <c r="B120" i="33"/>
  <c r="E132" i="28"/>
  <c r="F109" i="28"/>
  <c r="G109" i="28" s="1"/>
  <c r="B110" i="28"/>
  <c r="D133" i="28"/>
  <c r="I113" i="27"/>
  <c r="K113" i="27" s="1"/>
  <c r="B115" i="27"/>
  <c r="G114" i="27"/>
  <c r="I114" i="27" s="1"/>
  <c r="K114" i="27" s="1"/>
  <c r="C113" i="27"/>
  <c r="Q66" i="27"/>
  <c r="V25" i="27"/>
  <c r="B75" i="24"/>
  <c r="C73" i="24"/>
  <c r="G74" i="24"/>
  <c r="B131" i="36" l="1"/>
  <c r="F130" i="36"/>
  <c r="B128" i="34"/>
  <c r="F127" i="34"/>
  <c r="G127" i="34" s="1"/>
  <c r="F120" i="33"/>
  <c r="G120" i="33" s="1"/>
  <c r="B121" i="33"/>
  <c r="D142" i="33"/>
  <c r="G119" i="33"/>
  <c r="E17" i="6"/>
  <c r="H15" i="20"/>
  <c r="F110" i="28"/>
  <c r="B111" i="28"/>
  <c r="E133" i="28"/>
  <c r="B116" i="27"/>
  <c r="G115" i="27"/>
  <c r="I115" i="27" s="1"/>
  <c r="K115" i="27" s="1"/>
  <c r="C114" i="27"/>
  <c r="I74" i="24"/>
  <c r="K74" i="24" s="1"/>
  <c r="G75" i="24"/>
  <c r="C74" i="24"/>
  <c r="B76" i="24"/>
  <c r="G130" i="36" l="1"/>
  <c r="J130" i="36"/>
  <c r="S8" i="36" s="1"/>
  <c r="O34" i="6" s="1"/>
  <c r="B132" i="36"/>
  <c r="F131" i="36"/>
  <c r="F128" i="34"/>
  <c r="B129" i="34"/>
  <c r="E15" i="6"/>
  <c r="D143" i="33"/>
  <c r="F121" i="33"/>
  <c r="G121" i="33" s="1"/>
  <c r="B122" i="33"/>
  <c r="E134" i="28"/>
  <c r="F111" i="28"/>
  <c r="B112" i="28"/>
  <c r="G110" i="28"/>
  <c r="J110" i="28"/>
  <c r="S8" i="28" s="1"/>
  <c r="J21" i="6" s="1"/>
  <c r="D134" i="28"/>
  <c r="D135" i="28" s="1"/>
  <c r="B117" i="27"/>
  <c r="G116" i="27"/>
  <c r="C115" i="27"/>
  <c r="I75" i="24"/>
  <c r="K75" i="24" s="1"/>
  <c r="B77" i="24"/>
  <c r="C75" i="24"/>
  <c r="G76" i="24"/>
  <c r="O32" i="6" l="1"/>
  <c r="G131" i="36"/>
  <c r="F132" i="36"/>
  <c r="G132" i="36" s="1"/>
  <c r="B133" i="36"/>
  <c r="B130" i="34"/>
  <c r="F129" i="34"/>
  <c r="G128" i="34"/>
  <c r="J128" i="34"/>
  <c r="N30" i="6" s="1"/>
  <c r="N28" i="6" s="1"/>
  <c r="K36" i="2"/>
  <c r="J19" i="6"/>
  <c r="F122" i="33"/>
  <c r="G122" i="33" s="1"/>
  <c r="B123" i="33"/>
  <c r="E144" i="33"/>
  <c r="D144" i="33"/>
  <c r="F112" i="28"/>
  <c r="G112" i="28" s="1"/>
  <c r="B113" i="28"/>
  <c r="G111" i="28"/>
  <c r="E135" i="28"/>
  <c r="I134" i="28"/>
  <c r="U7" i="28" s="1"/>
  <c r="L20" i="6" s="1"/>
  <c r="I116" i="27"/>
  <c r="K116" i="27" s="1"/>
  <c r="B118" i="27"/>
  <c r="G117" i="27"/>
  <c r="I117" i="27" s="1"/>
  <c r="K117" i="27" s="1"/>
  <c r="C116" i="27"/>
  <c r="I76" i="24"/>
  <c r="K76" i="24" s="1"/>
  <c r="M76" i="24"/>
  <c r="G77" i="24"/>
  <c r="C76" i="24"/>
  <c r="B78" i="24"/>
  <c r="F133" i="36" l="1"/>
  <c r="G133" i="36" s="1"/>
  <c r="B134" i="36"/>
  <c r="G129" i="34"/>
  <c r="F130" i="34"/>
  <c r="G130" i="34" s="1"/>
  <c r="B131" i="34"/>
  <c r="D145" i="33"/>
  <c r="F123" i="33"/>
  <c r="B124" i="33"/>
  <c r="E136" i="28"/>
  <c r="F113" i="28"/>
  <c r="B114" i="28"/>
  <c r="D136" i="28"/>
  <c r="D137" i="28" s="1"/>
  <c r="B119" i="27"/>
  <c r="G118" i="27"/>
  <c r="I118" i="27" s="1"/>
  <c r="K118" i="27" s="1"/>
  <c r="C117" i="27"/>
  <c r="S4" i="24"/>
  <c r="I77" i="24"/>
  <c r="K77" i="24" s="1"/>
  <c r="G78" i="24"/>
  <c r="B79" i="24"/>
  <c r="C77" i="24"/>
  <c r="B135" i="36" l="1"/>
  <c r="F134" i="36"/>
  <c r="B132" i="34"/>
  <c r="F131" i="34"/>
  <c r="G131" i="34" s="1"/>
  <c r="G123" i="33"/>
  <c r="E146" i="33"/>
  <c r="F124" i="33"/>
  <c r="G124" i="33" s="1"/>
  <c r="B125" i="33"/>
  <c r="D146" i="33"/>
  <c r="I78" i="24"/>
  <c r="K78" i="24" s="1"/>
  <c r="G113" i="28"/>
  <c r="E137" i="28"/>
  <c r="D138" i="28" s="1"/>
  <c r="F114" i="28"/>
  <c r="G114" i="28" s="1"/>
  <c r="B115" i="28"/>
  <c r="B120" i="27"/>
  <c r="G119" i="27"/>
  <c r="C118" i="27"/>
  <c r="G79" i="24"/>
  <c r="C78" i="24"/>
  <c r="B80" i="24"/>
  <c r="G134" i="36" l="1"/>
  <c r="F135" i="36"/>
  <c r="G135" i="36" s="1"/>
  <c r="B136" i="36"/>
  <c r="B133" i="34"/>
  <c r="F132" i="34"/>
  <c r="D147" i="33"/>
  <c r="F125" i="33"/>
  <c r="G125" i="33" s="1"/>
  <c r="B126" i="33"/>
  <c r="E147" i="33"/>
  <c r="E148" i="33" s="1"/>
  <c r="E138" i="28"/>
  <c r="F115" i="28"/>
  <c r="G115" i="28" s="1"/>
  <c r="B116" i="28"/>
  <c r="D139" i="28"/>
  <c r="I119" i="27"/>
  <c r="K119" i="27" s="1"/>
  <c r="B121" i="27"/>
  <c r="G120" i="27"/>
  <c r="I120" i="27" s="1"/>
  <c r="K120" i="27" s="1"/>
  <c r="C119" i="27"/>
  <c r="I79" i="24"/>
  <c r="K79" i="24" s="1"/>
  <c r="G80" i="24"/>
  <c r="B81" i="24"/>
  <c r="C79" i="24"/>
  <c r="B137" i="36" l="1"/>
  <c r="F136" i="36"/>
  <c r="G136" i="36" s="1"/>
  <c r="G132" i="34"/>
  <c r="F133" i="34"/>
  <c r="E149" i="33"/>
  <c r="E150" i="33" s="1"/>
  <c r="M148" i="33"/>
  <c r="D148" i="33"/>
  <c r="D149" i="33" s="1"/>
  <c r="F126" i="33"/>
  <c r="G126" i="33" s="1"/>
  <c r="B127" i="33"/>
  <c r="I80" i="24"/>
  <c r="K80" i="24" s="1"/>
  <c r="F116" i="28"/>
  <c r="G116" i="28" s="1"/>
  <c r="B117" i="28"/>
  <c r="D140" i="28"/>
  <c r="E139" i="28"/>
  <c r="B122" i="27"/>
  <c r="G121" i="27"/>
  <c r="I121" i="27" s="1"/>
  <c r="K121" i="27" s="1"/>
  <c r="C120" i="27"/>
  <c r="G81" i="24"/>
  <c r="C80" i="24"/>
  <c r="B82" i="24"/>
  <c r="G133" i="34" l="1"/>
  <c r="F134" i="34"/>
  <c r="J133" i="34"/>
  <c r="O30" i="6" s="1"/>
  <c r="F137" i="36"/>
  <c r="B138" i="36"/>
  <c r="D150" i="33"/>
  <c r="D151" i="33" s="1"/>
  <c r="E151" i="33"/>
  <c r="E152" i="33" s="1"/>
  <c r="E153" i="33" s="1"/>
  <c r="F127" i="33"/>
  <c r="G127" i="33" s="1"/>
  <c r="B128" i="33"/>
  <c r="I81" i="24"/>
  <c r="K81" i="24" s="1"/>
  <c r="E140" i="28"/>
  <c r="F117" i="28"/>
  <c r="B118" i="28"/>
  <c r="D141" i="28"/>
  <c r="B123" i="27"/>
  <c r="G122" i="27"/>
  <c r="I122" i="27" s="1"/>
  <c r="K122" i="27" s="1"/>
  <c r="C121" i="27"/>
  <c r="B83" i="24"/>
  <c r="C81" i="24"/>
  <c r="G82" i="24"/>
  <c r="I82" i="24" s="1"/>
  <c r="K82" i="24" s="1"/>
  <c r="O28" i="6" l="1"/>
  <c r="B139" i="36"/>
  <c r="F138" i="36"/>
  <c r="G138" i="36" s="1"/>
  <c r="G137" i="36"/>
  <c r="E154" i="33"/>
  <c r="U7" i="33"/>
  <c r="D152" i="33"/>
  <c r="B129" i="33"/>
  <c r="F128" i="33"/>
  <c r="F118" i="28"/>
  <c r="G118" i="28" s="1"/>
  <c r="B119" i="28"/>
  <c r="G117" i="28"/>
  <c r="E141" i="28"/>
  <c r="D142" i="28" s="1"/>
  <c r="B124" i="27"/>
  <c r="G123" i="27"/>
  <c r="I123" i="27" s="1"/>
  <c r="K123" i="27" s="1"/>
  <c r="C122" i="27"/>
  <c r="G83" i="24"/>
  <c r="C82" i="24"/>
  <c r="B84" i="24"/>
  <c r="B140" i="36" l="1"/>
  <c r="F139" i="36"/>
  <c r="G139" i="36" s="1"/>
  <c r="I160" i="33"/>
  <c r="D153" i="33"/>
  <c r="O25" i="6"/>
  <c r="G128" i="33"/>
  <c r="J128" i="33"/>
  <c r="S8" i="33" s="1"/>
  <c r="M26" i="6" s="1"/>
  <c r="F129" i="33"/>
  <c r="B130" i="33"/>
  <c r="E142" i="28"/>
  <c r="F119" i="28"/>
  <c r="G119" i="28" s="1"/>
  <c r="B120" i="28"/>
  <c r="D143" i="28"/>
  <c r="G124" i="27"/>
  <c r="B125" i="27"/>
  <c r="C123" i="27"/>
  <c r="I83" i="24"/>
  <c r="K83" i="24" s="1"/>
  <c r="B85" i="24"/>
  <c r="C83" i="24"/>
  <c r="G84" i="24"/>
  <c r="F140" i="36" l="1"/>
  <c r="G140" i="36" s="1"/>
  <c r="B141" i="36"/>
  <c r="M24" i="6"/>
  <c r="D154" i="33"/>
  <c r="F130" i="33"/>
  <c r="G130" i="33" s="1"/>
  <c r="B131" i="33"/>
  <c r="G129" i="33"/>
  <c r="I84" i="24"/>
  <c r="K84" i="24" s="1"/>
  <c r="F120" i="28"/>
  <c r="G120" i="28" s="1"/>
  <c r="B121" i="28"/>
  <c r="E143" i="28"/>
  <c r="G125" i="27"/>
  <c r="B126" i="27"/>
  <c r="C124" i="27"/>
  <c r="I124" i="27"/>
  <c r="K124" i="27" s="1"/>
  <c r="M124" i="27"/>
  <c r="G85" i="24"/>
  <c r="I85" i="24" s="1"/>
  <c r="K85" i="24" s="1"/>
  <c r="C84" i="24"/>
  <c r="B86" i="24"/>
  <c r="B142" i="36" l="1"/>
  <c r="F141" i="36"/>
  <c r="G141" i="36" s="1"/>
  <c r="D155" i="33"/>
  <c r="V7" i="33"/>
  <c r="P25" i="6"/>
  <c r="X7" i="33"/>
  <c r="F131" i="33"/>
  <c r="B132" i="33"/>
  <c r="E144" i="28"/>
  <c r="F121" i="28"/>
  <c r="G121" i="28" s="1"/>
  <c r="B122" i="28"/>
  <c r="D144" i="28"/>
  <c r="D145" i="28" s="1"/>
  <c r="R66" i="27"/>
  <c r="W25" i="27"/>
  <c r="G126" i="27"/>
  <c r="I126" i="27" s="1"/>
  <c r="K126" i="27" s="1"/>
  <c r="C125" i="27"/>
  <c r="B127" i="27"/>
  <c r="I125" i="27"/>
  <c r="K125" i="27" s="1"/>
  <c r="G86" i="24"/>
  <c r="B87" i="24"/>
  <c r="C85" i="24"/>
  <c r="B143" i="36" l="1"/>
  <c r="F142" i="36"/>
  <c r="D156" i="33"/>
  <c r="F132" i="33"/>
  <c r="G132" i="33" s="1"/>
  <c r="B133" i="33"/>
  <c r="G131" i="33"/>
  <c r="F17" i="6"/>
  <c r="J15" i="20"/>
  <c r="I86" i="24"/>
  <c r="K86" i="24" s="1"/>
  <c r="B123" i="28"/>
  <c r="F122" i="28"/>
  <c r="E145" i="28"/>
  <c r="C126" i="27"/>
  <c r="G127" i="27"/>
  <c r="I127" i="27" s="1"/>
  <c r="K127" i="27" s="1"/>
  <c r="B128" i="27"/>
  <c r="G87" i="24"/>
  <c r="C86" i="24"/>
  <c r="B88" i="24"/>
  <c r="G142" i="36" l="1"/>
  <c r="J142" i="36"/>
  <c r="T8" i="36" s="1"/>
  <c r="P34" i="6" s="1"/>
  <c r="B144" i="36"/>
  <c r="F143" i="36"/>
  <c r="F15" i="6"/>
  <c r="F133" i="33"/>
  <c r="B134" i="33"/>
  <c r="I87" i="24"/>
  <c r="K87" i="24" s="1"/>
  <c r="G122" i="28"/>
  <c r="J122" i="28"/>
  <c r="T8" i="28" s="1"/>
  <c r="K21" i="6" s="1"/>
  <c r="E146" i="28"/>
  <c r="D146" i="28"/>
  <c r="D147" i="28" s="1"/>
  <c r="F123" i="28"/>
  <c r="B124" i="28"/>
  <c r="C127" i="27"/>
  <c r="G128" i="27"/>
  <c r="I128" i="27" s="1"/>
  <c r="K128" i="27" s="1"/>
  <c r="B129" i="27"/>
  <c r="B89" i="24"/>
  <c r="C87" i="24"/>
  <c r="G88" i="24"/>
  <c r="I11" i="11" s="1"/>
  <c r="R14" i="15" l="1"/>
  <c r="R8" i="15" s="1"/>
  <c r="P32" i="6"/>
  <c r="G143" i="36"/>
  <c r="B145" i="36"/>
  <c r="F144" i="36"/>
  <c r="G144" i="36" s="1"/>
  <c r="L36" i="2"/>
  <c r="K19" i="6"/>
  <c r="F134" i="33"/>
  <c r="G134" i="33" s="1"/>
  <c r="B135" i="33"/>
  <c r="G133" i="33"/>
  <c r="F124" i="28"/>
  <c r="G124" i="28" s="1"/>
  <c r="B125" i="28"/>
  <c r="E147" i="28"/>
  <c r="I146" i="28"/>
  <c r="V7" i="28" s="1"/>
  <c r="M20" i="6" s="1"/>
  <c r="G123" i="28"/>
  <c r="D148" i="28"/>
  <c r="C128" i="27"/>
  <c r="G129" i="27"/>
  <c r="B130" i="27"/>
  <c r="I88" i="24"/>
  <c r="K88" i="24" s="1"/>
  <c r="M88" i="24"/>
  <c r="T4" i="24" s="1"/>
  <c r="G89" i="24"/>
  <c r="C88" i="24"/>
  <c r="B90" i="24"/>
  <c r="B146" i="36" l="1"/>
  <c r="F145" i="36"/>
  <c r="G145" i="36" s="1"/>
  <c r="F135" i="33"/>
  <c r="B136" i="33"/>
  <c r="E148" i="28"/>
  <c r="F125" i="28"/>
  <c r="G125" i="28" s="1"/>
  <c r="B126" i="28"/>
  <c r="C129" i="27"/>
  <c r="G130" i="27"/>
  <c r="I130" i="27" s="1"/>
  <c r="K130" i="27" s="1"/>
  <c r="B131" i="27"/>
  <c r="I129" i="27"/>
  <c r="K129" i="27" s="1"/>
  <c r="I89" i="24"/>
  <c r="K89" i="24" s="1"/>
  <c r="B91" i="24"/>
  <c r="C89" i="24"/>
  <c r="G90" i="24"/>
  <c r="I90" i="24" s="1"/>
  <c r="K90" i="24" s="1"/>
  <c r="F146" i="36" l="1"/>
  <c r="B147" i="36"/>
  <c r="F136" i="33"/>
  <c r="G136" i="33" s="1"/>
  <c r="B137" i="33"/>
  <c r="G135" i="33"/>
  <c r="F126" i="28"/>
  <c r="G126" i="28" s="1"/>
  <c r="B127" i="28"/>
  <c r="E149" i="28"/>
  <c r="D149" i="28"/>
  <c r="B132" i="27"/>
  <c r="C130" i="27"/>
  <c r="G131" i="27"/>
  <c r="I131" i="27" s="1"/>
  <c r="K131" i="27" s="1"/>
  <c r="G91" i="24"/>
  <c r="C90" i="24"/>
  <c r="B92" i="24"/>
  <c r="B148" i="36" l="1"/>
  <c r="F147" i="36"/>
  <c r="G147" i="36" s="1"/>
  <c r="G146" i="36"/>
  <c r="F137" i="33"/>
  <c r="B138" i="33"/>
  <c r="E150" i="28"/>
  <c r="D150" i="28"/>
  <c r="D151" i="28" s="1"/>
  <c r="F127" i="28"/>
  <c r="B128" i="28"/>
  <c r="B133" i="27"/>
  <c r="G132" i="27"/>
  <c r="I132" i="27" s="1"/>
  <c r="K132" i="27" s="1"/>
  <c r="C131" i="27"/>
  <c r="I91" i="24"/>
  <c r="K91" i="24" s="1"/>
  <c r="B93" i="24"/>
  <c r="C91" i="24"/>
  <c r="G92" i="24"/>
  <c r="I92" i="24" s="1"/>
  <c r="K92" i="24" s="1"/>
  <c r="B149" i="36" l="1"/>
  <c r="F148" i="36"/>
  <c r="F138" i="33"/>
  <c r="G138" i="33" s="1"/>
  <c r="B139" i="33"/>
  <c r="G137" i="33"/>
  <c r="F128" i="28"/>
  <c r="G128" i="28" s="1"/>
  <c r="B129" i="28"/>
  <c r="G127" i="28"/>
  <c r="E151" i="28"/>
  <c r="D152" i="28" s="1"/>
  <c r="B134" i="27"/>
  <c r="G133" i="27"/>
  <c r="I133" i="27" s="1"/>
  <c r="K133" i="27" s="1"/>
  <c r="C132" i="27"/>
  <c r="G93" i="24"/>
  <c r="I93" i="24" s="1"/>
  <c r="K93" i="24" s="1"/>
  <c r="C92" i="24"/>
  <c r="B94" i="24"/>
  <c r="G148" i="36" l="1"/>
  <c r="B150" i="36"/>
  <c r="F149" i="36"/>
  <c r="G149" i="36" s="1"/>
  <c r="F139" i="33"/>
  <c r="G139" i="33" s="1"/>
  <c r="B140" i="33"/>
  <c r="F129" i="28"/>
  <c r="B130" i="28"/>
  <c r="E152" i="28"/>
  <c r="E153" i="28" s="1"/>
  <c r="I152" i="28"/>
  <c r="B135" i="27"/>
  <c r="G134" i="27"/>
  <c r="I134" i="27" s="1"/>
  <c r="K134" i="27" s="1"/>
  <c r="C133" i="27"/>
  <c r="G94" i="24"/>
  <c r="B95" i="24"/>
  <c r="C93" i="24"/>
  <c r="B151" i="36" l="1"/>
  <c r="F150" i="36"/>
  <c r="G150" i="36" s="1"/>
  <c r="D153" i="28"/>
  <c r="F140" i="33"/>
  <c r="B141" i="33"/>
  <c r="E154" i="28"/>
  <c r="F130" i="28"/>
  <c r="G130" i="28" s="1"/>
  <c r="B131" i="28"/>
  <c r="I155" i="28"/>
  <c r="W7" i="28"/>
  <c r="G129" i="28"/>
  <c r="B136" i="27"/>
  <c r="G135" i="27"/>
  <c r="I135" i="27" s="1"/>
  <c r="K135" i="27" s="1"/>
  <c r="C134" i="27"/>
  <c r="I94" i="24"/>
  <c r="K94" i="24" s="1"/>
  <c r="G95" i="24"/>
  <c r="I95" i="24" s="1"/>
  <c r="K95" i="24" s="1"/>
  <c r="C94" i="24"/>
  <c r="B96" i="24"/>
  <c r="F151" i="36" l="1"/>
  <c r="G151" i="36" s="1"/>
  <c r="B152" i="36"/>
  <c r="Z7" i="28"/>
  <c r="N20" i="6"/>
  <c r="P14" i="15" s="1"/>
  <c r="P8" i="15" s="1"/>
  <c r="G140" i="33"/>
  <c r="J140" i="33"/>
  <c r="F141" i="33"/>
  <c r="B142" i="33"/>
  <c r="F131" i="28"/>
  <c r="G131" i="28" s="1"/>
  <c r="B132" i="28"/>
  <c r="G136" i="27"/>
  <c r="B137" i="27"/>
  <c r="C135" i="27"/>
  <c r="G96" i="24"/>
  <c r="I96" i="24" s="1"/>
  <c r="K96" i="24" s="1"/>
  <c r="B97" i="24"/>
  <c r="C95" i="24"/>
  <c r="B153" i="36" l="1"/>
  <c r="F152" i="36"/>
  <c r="G152" i="36" s="1"/>
  <c r="Q14" i="15"/>
  <c r="Q8" i="15" s="1"/>
  <c r="T8" i="33"/>
  <c r="N26" i="6" s="1"/>
  <c r="F142" i="33"/>
  <c r="G142" i="33" s="1"/>
  <c r="B143" i="33"/>
  <c r="G141" i="33"/>
  <c r="F132" i="28"/>
  <c r="G132" i="28" s="1"/>
  <c r="B133" i="28"/>
  <c r="B138" i="27"/>
  <c r="G137" i="27"/>
  <c r="C136" i="27"/>
  <c r="I136" i="27"/>
  <c r="K136" i="27" s="1"/>
  <c r="M136" i="27"/>
  <c r="G97" i="24"/>
  <c r="I97" i="24" s="1"/>
  <c r="K97" i="24" s="1"/>
  <c r="C96" i="24"/>
  <c r="B98" i="24"/>
  <c r="B154" i="36" l="1"/>
  <c r="F153" i="36"/>
  <c r="G153" i="36" s="1"/>
  <c r="N24" i="6"/>
  <c r="F143" i="33"/>
  <c r="B144" i="33"/>
  <c r="F133" i="28"/>
  <c r="G133" i="28" s="1"/>
  <c r="B134" i="28"/>
  <c r="S66" i="27"/>
  <c r="G17" i="6" s="1"/>
  <c r="X25" i="27"/>
  <c r="I137" i="27"/>
  <c r="K137" i="27" s="1"/>
  <c r="C137" i="27"/>
  <c r="B139" i="27"/>
  <c r="G138" i="27"/>
  <c r="I138" i="27" s="1"/>
  <c r="K138" i="27" s="1"/>
  <c r="B99" i="24"/>
  <c r="C97" i="24"/>
  <c r="G98" i="24"/>
  <c r="I98" i="24" s="1"/>
  <c r="K98" i="24" s="1"/>
  <c r="B155" i="36" l="1"/>
  <c r="F154" i="36"/>
  <c r="G15" i="6"/>
  <c r="G143" i="33"/>
  <c r="F144" i="33"/>
  <c r="G144" i="33" s="1"/>
  <c r="B145" i="33"/>
  <c r="F134" i="28"/>
  <c r="B135" i="28"/>
  <c r="C138" i="27"/>
  <c r="B140" i="27"/>
  <c r="G139" i="27"/>
  <c r="I139" i="27" s="1"/>
  <c r="K139" i="27" s="1"/>
  <c r="G99" i="24"/>
  <c r="I99" i="24" s="1"/>
  <c r="K99" i="24" s="1"/>
  <c r="C98" i="24"/>
  <c r="B100" i="24"/>
  <c r="G154" i="36" l="1"/>
  <c r="J154" i="36"/>
  <c r="U8" i="36" s="1"/>
  <c r="Q34" i="6" s="1"/>
  <c r="B156" i="36"/>
  <c r="F155" i="36"/>
  <c r="F145" i="33"/>
  <c r="G145" i="33" s="1"/>
  <c r="B146" i="33"/>
  <c r="F135" i="28"/>
  <c r="B136" i="28"/>
  <c r="G134" i="28"/>
  <c r="J134" i="28"/>
  <c r="U8" i="28" s="1"/>
  <c r="L21" i="6" s="1"/>
  <c r="C139" i="27"/>
  <c r="B141" i="27"/>
  <c r="G140" i="27"/>
  <c r="I140" i="27" s="1"/>
  <c r="K140" i="27" s="1"/>
  <c r="B101" i="24"/>
  <c r="C99" i="24"/>
  <c r="G100" i="24"/>
  <c r="Q24" i="17" l="1"/>
  <c r="Q32" i="6"/>
  <c r="S14" i="15"/>
  <c r="S8" i="15" s="1"/>
  <c r="G155" i="36"/>
  <c r="F156" i="36"/>
  <c r="M36" i="2"/>
  <c r="L19" i="6"/>
  <c r="B147" i="33"/>
  <c r="F146" i="33"/>
  <c r="F136" i="28"/>
  <c r="G136" i="28" s="1"/>
  <c r="B137" i="28"/>
  <c r="G135" i="28"/>
  <c r="C140" i="27"/>
  <c r="B142" i="27"/>
  <c r="G141" i="27"/>
  <c r="I141" i="27" s="1"/>
  <c r="K141" i="27" s="1"/>
  <c r="I100" i="24"/>
  <c r="K100" i="24" s="1"/>
  <c r="M100" i="24"/>
  <c r="U4" i="24" s="1"/>
  <c r="G101" i="24"/>
  <c r="C100" i="24"/>
  <c r="B102" i="24"/>
  <c r="G156" i="36" l="1"/>
  <c r="F158" i="36"/>
  <c r="J156" i="36"/>
  <c r="Q37" i="6"/>
  <c r="F147" i="33"/>
  <c r="G147" i="33" s="1"/>
  <c r="B148" i="33"/>
  <c r="G146" i="33"/>
  <c r="F137" i="28"/>
  <c r="G137" i="28" s="1"/>
  <c r="B138" i="28"/>
  <c r="C141" i="27"/>
  <c r="B143" i="27"/>
  <c r="G142" i="27"/>
  <c r="I101" i="24"/>
  <c r="K101" i="24" s="1"/>
  <c r="G102" i="24"/>
  <c r="I102" i="24" s="1"/>
  <c r="K102" i="24" s="1"/>
  <c r="B103" i="24"/>
  <c r="C101" i="24"/>
  <c r="E30" i="2" l="1"/>
  <c r="E24" i="2"/>
  <c r="B149" i="33"/>
  <c r="F148" i="33"/>
  <c r="G148" i="33" s="1"/>
  <c r="F138" i="28"/>
  <c r="B139" i="28"/>
  <c r="I142" i="27"/>
  <c r="K142" i="27" s="1"/>
  <c r="C142" i="27"/>
  <c r="B144" i="27"/>
  <c r="G143" i="27"/>
  <c r="I143" i="27" s="1"/>
  <c r="K143" i="27" s="1"/>
  <c r="G103" i="24"/>
  <c r="I103" i="24" s="1"/>
  <c r="K103" i="24" s="1"/>
  <c r="C102" i="24"/>
  <c r="B104" i="24"/>
  <c r="J159" i="36" l="1"/>
  <c r="E22" i="2"/>
  <c r="B150" i="33"/>
  <c r="F149" i="33"/>
  <c r="G149" i="33" s="1"/>
  <c r="F139" i="28"/>
  <c r="G139" i="28" s="1"/>
  <c r="B140" i="28"/>
  <c r="G138" i="28"/>
  <c r="C143" i="27"/>
  <c r="B145" i="27"/>
  <c r="G144" i="27"/>
  <c r="I144" i="27" s="1"/>
  <c r="K144" i="27" s="1"/>
  <c r="B105" i="24"/>
  <c r="C103" i="24"/>
  <c r="G104" i="24"/>
  <c r="I104" i="24" s="1"/>
  <c r="K104" i="24" s="1"/>
  <c r="V8" i="36" l="1"/>
  <c r="R34" i="6" s="1"/>
  <c r="G158" i="36"/>
  <c r="B151" i="33"/>
  <c r="F150" i="33"/>
  <c r="G150" i="33" s="1"/>
  <c r="F140" i="28"/>
  <c r="B141" i="28"/>
  <c r="C144" i="27"/>
  <c r="B146" i="27"/>
  <c r="G145" i="27"/>
  <c r="I145" i="27" s="1"/>
  <c r="K145" i="27" s="1"/>
  <c r="G105" i="24"/>
  <c r="C104" i="24"/>
  <c r="B106" i="24"/>
  <c r="X8" i="36" l="1"/>
  <c r="F151" i="33"/>
  <c r="G151" i="33" s="1"/>
  <c r="B152" i="33"/>
  <c r="B153" i="33" s="1"/>
  <c r="F141" i="28"/>
  <c r="G141" i="28" s="1"/>
  <c r="B142" i="28"/>
  <c r="G140" i="28"/>
  <c r="C145" i="27"/>
  <c r="B147" i="27"/>
  <c r="G146" i="27"/>
  <c r="I146" i="27" s="1"/>
  <c r="K146" i="27" s="1"/>
  <c r="I105" i="24"/>
  <c r="K105" i="24" s="1"/>
  <c r="B107" i="24"/>
  <c r="C105" i="24"/>
  <c r="G106" i="24"/>
  <c r="I106" i="24" s="1"/>
  <c r="K106" i="24" s="1"/>
  <c r="R37" i="6" l="1"/>
  <c r="R32" i="6"/>
  <c r="X8" i="34"/>
  <c r="J135" i="34"/>
  <c r="G134" i="34"/>
  <c r="B154" i="33"/>
  <c r="F153" i="33"/>
  <c r="F152" i="33"/>
  <c r="F142" i="28"/>
  <c r="B143" i="28"/>
  <c r="C146" i="27"/>
  <c r="B148" i="27"/>
  <c r="G147" i="27"/>
  <c r="I147" i="27" s="1"/>
  <c r="K147" i="27" s="1"/>
  <c r="R32" i="2"/>
  <c r="G107" i="24"/>
  <c r="I107" i="24" s="1"/>
  <c r="K107" i="24" s="1"/>
  <c r="C106" i="24"/>
  <c r="B108" i="24"/>
  <c r="Q22" i="17" l="1"/>
  <c r="R24" i="17"/>
  <c r="R22" i="17" s="1"/>
  <c r="F154" i="33"/>
  <c r="G154" i="33" s="1"/>
  <c r="B155" i="33"/>
  <c r="G153" i="33"/>
  <c r="G152" i="33"/>
  <c r="J152" i="33"/>
  <c r="F143" i="28"/>
  <c r="G143" i="28" s="1"/>
  <c r="B144" i="28"/>
  <c r="G142" i="28"/>
  <c r="B149" i="27"/>
  <c r="C147" i="27"/>
  <c r="G148" i="27"/>
  <c r="B109" i="24"/>
  <c r="C107" i="24"/>
  <c r="G108" i="24"/>
  <c r="I108" i="24" s="1"/>
  <c r="K108" i="24" s="1"/>
  <c r="F155" i="33" l="1"/>
  <c r="B156" i="33"/>
  <c r="F156" i="33" s="1"/>
  <c r="G155" i="33"/>
  <c r="U8" i="33"/>
  <c r="O26" i="6" s="1"/>
  <c r="O24" i="17" s="1"/>
  <c r="F144" i="28"/>
  <c r="G144" i="28" s="1"/>
  <c r="B145" i="28"/>
  <c r="I148" i="27"/>
  <c r="K148" i="27" s="1"/>
  <c r="M148" i="27"/>
  <c r="B150" i="27"/>
  <c r="G149" i="27"/>
  <c r="C148" i="27"/>
  <c r="G109" i="24"/>
  <c r="I109" i="24" s="1"/>
  <c r="K109" i="24" s="1"/>
  <c r="C108" i="24"/>
  <c r="B110" i="24"/>
  <c r="J154" i="33" l="1"/>
  <c r="G156" i="33"/>
  <c r="G159" i="33" s="1"/>
  <c r="F159" i="33"/>
  <c r="O24" i="6"/>
  <c r="F145" i="28"/>
  <c r="G145" i="28" s="1"/>
  <c r="B146" i="28"/>
  <c r="I149" i="27"/>
  <c r="K149" i="27" s="1"/>
  <c r="Y25" i="27"/>
  <c r="T66" i="27"/>
  <c r="H17" i="6" s="1"/>
  <c r="C149" i="27"/>
  <c r="B151" i="27"/>
  <c r="G150" i="27"/>
  <c r="I150" i="27" s="1"/>
  <c r="K150" i="27" s="1"/>
  <c r="G110" i="24"/>
  <c r="I110" i="24" s="1"/>
  <c r="K110" i="24" s="1"/>
  <c r="B111" i="24"/>
  <c r="C109" i="24"/>
  <c r="J160" i="33" l="1"/>
  <c r="V8" i="33"/>
  <c r="H15" i="6"/>
  <c r="O37" i="6"/>
  <c r="B147" i="28"/>
  <c r="F146" i="28"/>
  <c r="C150" i="27"/>
  <c r="B152" i="27"/>
  <c r="G151" i="27"/>
  <c r="I151" i="27" s="1"/>
  <c r="K151" i="27" s="1"/>
  <c r="G111" i="24"/>
  <c r="I111" i="24" s="1"/>
  <c r="K111" i="24" s="1"/>
  <c r="C110" i="24"/>
  <c r="B112" i="24"/>
  <c r="P26" i="6" l="1"/>
  <c r="P24" i="17" s="1"/>
  <c r="X8" i="33"/>
  <c r="G146" i="28"/>
  <c r="J146" i="28"/>
  <c r="V8" i="28" s="1"/>
  <c r="M21" i="6" s="1"/>
  <c r="F147" i="28"/>
  <c r="B148" i="28"/>
  <c r="C151" i="27"/>
  <c r="B153" i="27"/>
  <c r="G152" i="27"/>
  <c r="I152" i="27" s="1"/>
  <c r="K152" i="27" s="1"/>
  <c r="G112" i="24"/>
  <c r="B113" i="24"/>
  <c r="C111" i="24"/>
  <c r="P24" i="6" l="1"/>
  <c r="N36" i="2"/>
  <c r="M19" i="6"/>
  <c r="F148" i="28"/>
  <c r="G148" i="28" s="1"/>
  <c r="B149" i="28"/>
  <c r="G147" i="28"/>
  <c r="C152" i="27"/>
  <c r="B154" i="27"/>
  <c r="G153" i="27"/>
  <c r="I153" i="27" s="1"/>
  <c r="K153" i="27" s="1"/>
  <c r="I112" i="24"/>
  <c r="K112" i="24" s="1"/>
  <c r="M112" i="24"/>
  <c r="V4" i="24" s="1"/>
  <c r="H14" i="20" s="1"/>
  <c r="G113" i="24"/>
  <c r="C112" i="24"/>
  <c r="B114" i="24"/>
  <c r="P22" i="17" l="1"/>
  <c r="P37" i="6"/>
  <c r="F149" i="28"/>
  <c r="B150" i="28"/>
  <c r="C153" i="27"/>
  <c r="B155" i="27"/>
  <c r="G154" i="27"/>
  <c r="I154" i="27" s="1"/>
  <c r="K154" i="27" s="1"/>
  <c r="E12" i="6"/>
  <c r="I113" i="24"/>
  <c r="K113" i="24" s="1"/>
  <c r="G114" i="24"/>
  <c r="I114" i="24" s="1"/>
  <c r="K114" i="24" s="1"/>
  <c r="C113" i="24"/>
  <c r="B115" i="24"/>
  <c r="E10" i="6" l="1"/>
  <c r="F150" i="28"/>
  <c r="G150" i="28" s="1"/>
  <c r="B151" i="28"/>
  <c r="G149" i="28"/>
  <c r="C154" i="27"/>
  <c r="B156" i="27"/>
  <c r="G155" i="27"/>
  <c r="I155" i="27" s="1"/>
  <c r="K155" i="27" s="1"/>
  <c r="G115" i="24"/>
  <c r="I115" i="24" s="1"/>
  <c r="K115" i="24" s="1"/>
  <c r="C114" i="24"/>
  <c r="B116" i="24"/>
  <c r="F151" i="28" l="1"/>
  <c r="B152" i="28"/>
  <c r="C155" i="27"/>
  <c r="B157" i="27"/>
  <c r="G156" i="27"/>
  <c r="I156" i="27" s="1"/>
  <c r="K156" i="27" s="1"/>
  <c r="G116" i="24"/>
  <c r="C115" i="24"/>
  <c r="B117" i="24"/>
  <c r="F152" i="28" l="1"/>
  <c r="B153" i="28"/>
  <c r="F153" i="28" s="1"/>
  <c r="G153" i="28" s="1"/>
  <c r="G152" i="28"/>
  <c r="G151" i="28"/>
  <c r="C156" i="27"/>
  <c r="B158" i="27"/>
  <c r="G157" i="27"/>
  <c r="I157" i="27" s="1"/>
  <c r="K157" i="27" s="1"/>
  <c r="I116" i="24"/>
  <c r="K116" i="24" s="1"/>
  <c r="G117" i="24"/>
  <c r="I117" i="24" s="1"/>
  <c r="K117" i="24" s="1"/>
  <c r="C116" i="24"/>
  <c r="B118" i="24"/>
  <c r="F154" i="28" l="1"/>
  <c r="J152" i="28"/>
  <c r="J155" i="28" s="1"/>
  <c r="C157" i="27"/>
  <c r="B159" i="27"/>
  <c r="G158" i="27"/>
  <c r="I158" i="27" s="1"/>
  <c r="K158" i="27" s="1"/>
  <c r="G118" i="24"/>
  <c r="I118" i="24" s="1"/>
  <c r="K118" i="24" s="1"/>
  <c r="C117" i="24"/>
  <c r="B119" i="24"/>
  <c r="W8" i="28" l="1"/>
  <c r="Z8" i="28" s="1"/>
  <c r="N21" i="6"/>
  <c r="C158" i="27"/>
  <c r="B160" i="27"/>
  <c r="G159" i="27"/>
  <c r="I159" i="27" s="1"/>
  <c r="K159" i="27" s="1"/>
  <c r="G119" i="24"/>
  <c r="C118" i="24"/>
  <c r="B120" i="24"/>
  <c r="N19" i="6" l="1"/>
  <c r="O36" i="2"/>
  <c r="B161" i="27"/>
  <c r="C159" i="27"/>
  <c r="G160" i="27"/>
  <c r="I119" i="24"/>
  <c r="K119" i="24" s="1"/>
  <c r="G120" i="24"/>
  <c r="I120" i="24" s="1"/>
  <c r="K120" i="24" s="1"/>
  <c r="C119" i="24"/>
  <c r="B121" i="24"/>
  <c r="B162" i="27" l="1"/>
  <c r="G161" i="27"/>
  <c r="C160" i="27"/>
  <c r="I160" i="27"/>
  <c r="K160" i="27" s="1"/>
  <c r="M160" i="27"/>
  <c r="G121" i="24"/>
  <c r="I121" i="24" s="1"/>
  <c r="K121" i="24" s="1"/>
  <c r="C120" i="24"/>
  <c r="B122" i="24"/>
  <c r="U66" i="27" l="1"/>
  <c r="I17" i="6" s="1"/>
  <c r="Z25" i="27"/>
  <c r="AE25" i="27" s="1"/>
  <c r="I161" i="27"/>
  <c r="K161" i="27" s="1"/>
  <c r="B163" i="27"/>
  <c r="G162" i="27"/>
  <c r="I162" i="27" s="1"/>
  <c r="C161" i="27"/>
  <c r="G122" i="24"/>
  <c r="I122" i="24" s="1"/>
  <c r="K122" i="24" s="1"/>
  <c r="C121" i="24"/>
  <c r="B123" i="24"/>
  <c r="I15" i="6" l="1"/>
  <c r="G163" i="27"/>
  <c r="B164" i="27"/>
  <c r="K162" i="27"/>
  <c r="I215" i="27"/>
  <c r="K215" i="27" s="1"/>
  <c r="G123" i="24"/>
  <c r="I123" i="24" s="1"/>
  <c r="K123" i="24" s="1"/>
  <c r="C122" i="24"/>
  <c r="B124" i="24"/>
  <c r="B165" i="27" l="1"/>
  <c r="G164" i="27"/>
  <c r="I164" i="27" s="1"/>
  <c r="I163" i="27"/>
  <c r="G124" i="24"/>
  <c r="C123" i="24"/>
  <c r="B125" i="24"/>
  <c r="G165" i="27" l="1"/>
  <c r="B166" i="27"/>
  <c r="I124" i="24"/>
  <c r="K124" i="24" s="1"/>
  <c r="M124" i="24"/>
  <c r="W4" i="24" s="1"/>
  <c r="G125" i="24"/>
  <c r="C124" i="24"/>
  <c r="B126" i="24"/>
  <c r="F12" i="6" l="1"/>
  <c r="J14" i="20"/>
  <c r="B167" i="27"/>
  <c r="G166" i="27"/>
  <c r="I166" i="27" s="1"/>
  <c r="I165" i="27"/>
  <c r="I125" i="24"/>
  <c r="K125" i="24" s="1"/>
  <c r="G126" i="24"/>
  <c r="I126" i="24" s="1"/>
  <c r="K126" i="24" s="1"/>
  <c r="C125" i="24"/>
  <c r="B127" i="24"/>
  <c r="F10" i="6" l="1"/>
  <c r="G167" i="27"/>
  <c r="I167" i="27" s="1"/>
  <c r="B168" i="27"/>
  <c r="G127" i="24"/>
  <c r="I127" i="24" s="1"/>
  <c r="K127" i="24" s="1"/>
  <c r="C126" i="24"/>
  <c r="B128" i="24"/>
  <c r="B169" i="27" l="1"/>
  <c r="G168" i="27"/>
  <c r="I168" i="27" s="1"/>
  <c r="G128" i="24"/>
  <c r="I128" i="24" s="1"/>
  <c r="K128" i="24" s="1"/>
  <c r="C127" i="24"/>
  <c r="B129" i="24"/>
  <c r="G169" i="27" l="1"/>
  <c r="I169" i="27" s="1"/>
  <c r="B170" i="27"/>
  <c r="G129" i="24"/>
  <c r="I129" i="24" s="1"/>
  <c r="K129" i="24" s="1"/>
  <c r="C128" i="24"/>
  <c r="B130" i="24"/>
  <c r="B171" i="27" l="1"/>
  <c r="G170" i="27"/>
  <c r="I170" i="27" s="1"/>
  <c r="G130" i="24"/>
  <c r="C129" i="24"/>
  <c r="B131" i="24"/>
  <c r="G171" i="27" l="1"/>
  <c r="I171" i="27" s="1"/>
  <c r="B172" i="27"/>
  <c r="I130" i="24"/>
  <c r="K130" i="24" s="1"/>
  <c r="G131" i="24"/>
  <c r="I131" i="24" s="1"/>
  <c r="K131" i="24" s="1"/>
  <c r="C130" i="24"/>
  <c r="B132" i="24"/>
  <c r="B173" i="27" l="1"/>
  <c r="G172" i="27"/>
  <c r="G132" i="24"/>
  <c r="I132" i="24" s="1"/>
  <c r="K132" i="24" s="1"/>
  <c r="C131" i="24"/>
  <c r="B133" i="24"/>
  <c r="I172" i="27" l="1"/>
  <c r="M172" i="27"/>
  <c r="V66" i="27" s="1"/>
  <c r="J17" i="6" s="1"/>
  <c r="B174" i="27"/>
  <c r="G173" i="27"/>
  <c r="G133" i="24"/>
  <c r="I133" i="24" s="1"/>
  <c r="K133" i="24" s="1"/>
  <c r="C132" i="24"/>
  <c r="B134" i="24"/>
  <c r="J15" i="6" l="1"/>
  <c r="G174" i="27"/>
  <c r="I174" i="27" s="1"/>
  <c r="B175" i="27"/>
  <c r="I173" i="27"/>
  <c r="G134" i="24"/>
  <c r="I134" i="24" s="1"/>
  <c r="K134" i="24" s="1"/>
  <c r="C133" i="24"/>
  <c r="B135" i="24"/>
  <c r="B176" i="27" l="1"/>
  <c r="G175" i="27"/>
  <c r="I175" i="27" s="1"/>
  <c r="G135" i="24"/>
  <c r="I135" i="24" s="1"/>
  <c r="K135" i="24" s="1"/>
  <c r="C134" i="24"/>
  <c r="B136" i="24"/>
  <c r="G176" i="27" l="1"/>
  <c r="I176" i="27" s="1"/>
  <c r="B177" i="27"/>
  <c r="G136" i="24"/>
  <c r="C135" i="24"/>
  <c r="B137" i="24"/>
  <c r="B178" i="27" l="1"/>
  <c r="G177" i="27"/>
  <c r="I177" i="27" s="1"/>
  <c r="I136" i="24"/>
  <c r="K136" i="24" s="1"/>
  <c r="M136" i="24"/>
  <c r="X4" i="24" s="1"/>
  <c r="G12" i="6" s="1"/>
  <c r="G137" i="24"/>
  <c r="C136" i="24"/>
  <c r="B138" i="24"/>
  <c r="G10" i="6" l="1"/>
  <c r="G178" i="27"/>
  <c r="I178" i="27" s="1"/>
  <c r="B179" i="27"/>
  <c r="I137" i="24"/>
  <c r="K137" i="24" s="1"/>
  <c r="G138" i="24"/>
  <c r="I138" i="24" s="1"/>
  <c r="K138" i="24" s="1"/>
  <c r="C137" i="24"/>
  <c r="B139" i="24"/>
  <c r="B180" i="27" l="1"/>
  <c r="G179" i="27"/>
  <c r="I179" i="27" s="1"/>
  <c r="B140" i="24"/>
  <c r="C138" i="24"/>
  <c r="G139" i="24"/>
  <c r="I139" i="24" s="1"/>
  <c r="K139" i="24" s="1"/>
  <c r="G180" i="27" l="1"/>
  <c r="I180" i="27" s="1"/>
  <c r="B181" i="27"/>
  <c r="B141" i="24"/>
  <c r="C139" i="24"/>
  <c r="G140" i="24"/>
  <c r="B182" i="27" l="1"/>
  <c r="G181" i="27"/>
  <c r="I181" i="27" s="1"/>
  <c r="I140" i="24"/>
  <c r="K140" i="24" s="1"/>
  <c r="B142" i="24"/>
  <c r="C140" i="24"/>
  <c r="G141" i="24"/>
  <c r="I141" i="24" s="1"/>
  <c r="K141" i="24" s="1"/>
  <c r="G182" i="27" l="1"/>
  <c r="I182" i="27" s="1"/>
  <c r="B183" i="27"/>
  <c r="B143" i="24"/>
  <c r="C141" i="24"/>
  <c r="G142" i="24"/>
  <c r="G183" i="27" l="1"/>
  <c r="I183" i="27" s="1"/>
  <c r="B184" i="27"/>
  <c r="I142" i="24"/>
  <c r="K142" i="24" s="1"/>
  <c r="B144" i="24"/>
  <c r="C142" i="24"/>
  <c r="G143" i="24"/>
  <c r="I143" i="24" s="1"/>
  <c r="K143" i="24" s="1"/>
  <c r="B185" i="27" l="1"/>
  <c r="G184" i="27"/>
  <c r="G144" i="24"/>
  <c r="B145" i="24"/>
  <c r="C143" i="24"/>
  <c r="I184" i="27" l="1"/>
  <c r="M184" i="27"/>
  <c r="W66" i="27" s="1"/>
  <c r="K17" i="6" s="1"/>
  <c r="G185" i="27"/>
  <c r="B186" i="27"/>
  <c r="I144" i="24"/>
  <c r="K144" i="24" s="1"/>
  <c r="B146" i="24"/>
  <c r="G145" i="24"/>
  <c r="I145" i="24" s="1"/>
  <c r="K145" i="24" s="1"/>
  <c r="C144" i="24"/>
  <c r="K15" i="6" l="1"/>
  <c r="G186" i="27"/>
  <c r="I186" i="27" s="1"/>
  <c r="B187" i="27"/>
  <c r="I185" i="27"/>
  <c r="G146" i="24"/>
  <c r="I146" i="24" s="1"/>
  <c r="K146" i="24" s="1"/>
  <c r="C145" i="24"/>
  <c r="B147" i="24"/>
  <c r="B188" i="27" l="1"/>
  <c r="G187" i="27"/>
  <c r="I187" i="27" s="1"/>
  <c r="B148" i="24"/>
  <c r="G147" i="24"/>
  <c r="I147" i="24" s="1"/>
  <c r="K147" i="24" s="1"/>
  <c r="C146" i="24"/>
  <c r="B189" i="27" l="1"/>
  <c r="G188" i="27"/>
  <c r="I188" i="27" s="1"/>
  <c r="B149" i="24"/>
  <c r="C147" i="24"/>
  <c r="G148" i="24"/>
  <c r="G189" i="27" l="1"/>
  <c r="B190" i="27"/>
  <c r="I148" i="24"/>
  <c r="K148" i="24" s="1"/>
  <c r="M148" i="24"/>
  <c r="Y4" i="24" s="1"/>
  <c r="H12" i="6" s="1"/>
  <c r="B150" i="24"/>
  <c r="C148" i="24"/>
  <c r="G149" i="24"/>
  <c r="H10" i="6" l="1"/>
  <c r="G190" i="27"/>
  <c r="I190" i="27" s="1"/>
  <c r="B191" i="27"/>
  <c r="I189" i="27"/>
  <c r="I149" i="24"/>
  <c r="K149" i="24" s="1"/>
  <c r="B151" i="24"/>
  <c r="C149" i="24"/>
  <c r="G150" i="24"/>
  <c r="I150" i="24" s="1"/>
  <c r="K150" i="24" s="1"/>
  <c r="G191" i="27" l="1"/>
  <c r="I191" i="27" s="1"/>
  <c r="B192" i="27"/>
  <c r="B152" i="24"/>
  <c r="C150" i="24"/>
  <c r="G151" i="24"/>
  <c r="B193" i="27" l="1"/>
  <c r="G192" i="27"/>
  <c r="I192" i="27" s="1"/>
  <c r="I151" i="24"/>
  <c r="K151" i="24" s="1"/>
  <c r="G152" i="24"/>
  <c r="I152" i="24" s="1"/>
  <c r="K152" i="24" s="1"/>
  <c r="B153" i="24"/>
  <c r="C151" i="24"/>
  <c r="G193" i="27" l="1"/>
  <c r="I193" i="27" s="1"/>
  <c r="B194" i="27"/>
  <c r="B154" i="24"/>
  <c r="G153" i="24"/>
  <c r="I153" i="24" s="1"/>
  <c r="K153" i="24" s="1"/>
  <c r="C152" i="24"/>
  <c r="G194" i="27" l="1"/>
  <c r="I194" i="27" s="1"/>
  <c r="B195" i="27"/>
  <c r="B155" i="24"/>
  <c r="G154" i="24"/>
  <c r="I154" i="24" s="1"/>
  <c r="K154" i="24" s="1"/>
  <c r="C153" i="24"/>
  <c r="G195" i="27" l="1"/>
  <c r="I195" i="27" s="1"/>
  <c r="B196" i="27"/>
  <c r="B156" i="24"/>
  <c r="G155" i="24"/>
  <c r="I155" i="24" s="1"/>
  <c r="K155" i="24" s="1"/>
  <c r="C154" i="24"/>
  <c r="B197" i="27" l="1"/>
  <c r="G196" i="27"/>
  <c r="B157" i="24"/>
  <c r="G156" i="24"/>
  <c r="I156" i="24" s="1"/>
  <c r="K156" i="24" s="1"/>
  <c r="C155" i="24"/>
  <c r="I196" i="27" l="1"/>
  <c r="M196" i="27"/>
  <c r="X66" i="27" s="1"/>
  <c r="L17" i="6" s="1"/>
  <c r="B198" i="27"/>
  <c r="G197" i="27"/>
  <c r="B158" i="24"/>
  <c r="G157" i="24"/>
  <c r="I157" i="24" s="1"/>
  <c r="K157" i="24" s="1"/>
  <c r="C156" i="24"/>
  <c r="L15" i="6" l="1"/>
  <c r="I197" i="27"/>
  <c r="G198" i="27"/>
  <c r="I198" i="27" s="1"/>
  <c r="B199" i="27"/>
  <c r="B159" i="24"/>
  <c r="G158" i="24"/>
  <c r="I158" i="24" s="1"/>
  <c r="K158" i="24" s="1"/>
  <c r="C157" i="24"/>
  <c r="G199" i="27" l="1"/>
  <c r="I199" i="27" s="1"/>
  <c r="B200" i="27"/>
  <c r="B160" i="24"/>
  <c r="G159" i="24"/>
  <c r="I159" i="24" s="1"/>
  <c r="K159" i="24" s="1"/>
  <c r="C158" i="24"/>
  <c r="G200" i="27" l="1"/>
  <c r="I200" i="27" s="1"/>
  <c r="B201" i="27"/>
  <c r="B161" i="24"/>
  <c r="G160" i="24"/>
  <c r="C159" i="24"/>
  <c r="B202" i="27" l="1"/>
  <c r="G201" i="27"/>
  <c r="I201" i="27" s="1"/>
  <c r="I160" i="24"/>
  <c r="K160" i="24" s="1"/>
  <c r="M160" i="24"/>
  <c r="Z4" i="24" s="1"/>
  <c r="I12" i="6" s="1"/>
  <c r="B162" i="24"/>
  <c r="G161" i="24"/>
  <c r="C160" i="24"/>
  <c r="I10" i="6" l="1"/>
  <c r="G202" i="27"/>
  <c r="B203" i="27"/>
  <c r="I161" i="24"/>
  <c r="K161" i="24" s="1"/>
  <c r="B163" i="24"/>
  <c r="C161" i="24"/>
  <c r="G162" i="24"/>
  <c r="I162" i="24" s="1"/>
  <c r="K162" i="24" s="1"/>
  <c r="I202" i="27" l="1"/>
  <c r="G203" i="27"/>
  <c r="I203" i="27" s="1"/>
  <c r="B204" i="27"/>
  <c r="B164" i="24"/>
  <c r="G163" i="24"/>
  <c r="C162" i="24"/>
  <c r="G204" i="27" l="1"/>
  <c r="I204" i="27" s="1"/>
  <c r="B205" i="27"/>
  <c r="I163" i="24"/>
  <c r="K163" i="24" s="1"/>
  <c r="B165" i="24"/>
  <c r="G164" i="24"/>
  <c r="I164" i="24" s="1"/>
  <c r="K164" i="24" s="1"/>
  <c r="C163" i="24"/>
  <c r="B206" i="27" l="1"/>
  <c r="G205" i="27"/>
  <c r="I205" i="27" s="1"/>
  <c r="B166" i="24"/>
  <c r="G165" i="24"/>
  <c r="C164" i="24"/>
  <c r="G206" i="27" l="1"/>
  <c r="I206" i="27" s="1"/>
  <c r="B207" i="27"/>
  <c r="I165" i="24"/>
  <c r="K165" i="24" s="1"/>
  <c r="B167" i="24"/>
  <c r="G166" i="24"/>
  <c r="I166" i="24" s="1"/>
  <c r="K166" i="24" s="1"/>
  <c r="C165" i="24"/>
  <c r="G207" i="27" l="1"/>
  <c r="I207" i="27" s="1"/>
  <c r="B208" i="27"/>
  <c r="B168" i="24"/>
  <c r="G167" i="24"/>
  <c r="C166" i="24"/>
  <c r="B209" i="27" l="1"/>
  <c r="G208" i="27"/>
  <c r="I167" i="24"/>
  <c r="K167" i="24" s="1"/>
  <c r="B169" i="24"/>
  <c r="C167" i="24"/>
  <c r="G168" i="24"/>
  <c r="I168" i="24" s="1"/>
  <c r="K168" i="24" s="1"/>
  <c r="G209" i="27" l="1"/>
  <c r="B210" i="27"/>
  <c r="I208" i="27"/>
  <c r="M208" i="27"/>
  <c r="Y66" i="27" s="1"/>
  <c r="M17" i="6" s="1"/>
  <c r="M24" i="17" s="1"/>
  <c r="B170" i="24"/>
  <c r="G169" i="24"/>
  <c r="C168" i="24"/>
  <c r="M15" i="6" l="1"/>
  <c r="I209" i="27"/>
  <c r="B211" i="27"/>
  <c r="G210" i="27"/>
  <c r="I210" i="27" s="1"/>
  <c r="I169" i="24"/>
  <c r="K169" i="24" s="1"/>
  <c r="B171" i="24"/>
  <c r="C169" i="24"/>
  <c r="G170" i="24"/>
  <c r="I170" i="24" s="1"/>
  <c r="K170" i="24" s="1"/>
  <c r="P24" i="29" l="1"/>
  <c r="M37" i="6"/>
  <c r="G211" i="27"/>
  <c r="B212" i="27"/>
  <c r="B172" i="24"/>
  <c r="G171" i="24"/>
  <c r="I171" i="24" s="1"/>
  <c r="K171" i="24" s="1"/>
  <c r="C170" i="24"/>
  <c r="I211" i="27" l="1"/>
  <c r="G212" i="27"/>
  <c r="I212" i="27" s="1"/>
  <c r="B213" i="27"/>
  <c r="B173" i="24"/>
  <c r="G172" i="24"/>
  <c r="C171" i="24"/>
  <c r="G213" i="27" l="1"/>
  <c r="I213" i="27" s="1"/>
  <c r="B214" i="27"/>
  <c r="G214" i="27" s="1"/>
  <c r="I172" i="24"/>
  <c r="K172" i="24" s="1"/>
  <c r="M172" i="24"/>
  <c r="AA4" i="24" s="1"/>
  <c r="J12" i="6" s="1"/>
  <c r="B174" i="24"/>
  <c r="G173" i="24"/>
  <c r="C172" i="24"/>
  <c r="J10" i="6" l="1"/>
  <c r="M214" i="27"/>
  <c r="M219" i="27" s="1"/>
  <c r="I214" i="27"/>
  <c r="G215" i="27"/>
  <c r="I173" i="24"/>
  <c r="K173" i="24" s="1"/>
  <c r="B175" i="24"/>
  <c r="G174" i="24"/>
  <c r="I174" i="24" s="1"/>
  <c r="K174" i="24" s="1"/>
  <c r="C173" i="24"/>
  <c r="Z66" i="27" l="1"/>
  <c r="N17" i="6" s="1"/>
  <c r="N24" i="17" s="1"/>
  <c r="AC66" i="27"/>
  <c r="B176" i="24"/>
  <c r="G175" i="24"/>
  <c r="I175" i="24" s="1"/>
  <c r="K175" i="24" s="1"/>
  <c r="C174" i="24"/>
  <c r="N15" i="6" l="1"/>
  <c r="B177" i="24"/>
  <c r="G176" i="24"/>
  <c r="C175" i="24"/>
  <c r="Q24" i="29" l="1"/>
  <c r="R15" i="15"/>
  <c r="O22" i="17"/>
  <c r="R22" i="29"/>
  <c r="R26" i="29" s="1"/>
  <c r="N37" i="6"/>
  <c r="I176" i="24"/>
  <c r="K176" i="24" s="1"/>
  <c r="B178" i="24"/>
  <c r="G177" i="24"/>
  <c r="I177" i="24" s="1"/>
  <c r="K177" i="24" s="1"/>
  <c r="C176" i="24"/>
  <c r="Q22" i="29" l="1"/>
  <c r="Q26" i="29" s="1"/>
  <c r="R9" i="15"/>
  <c r="R7" i="15" s="1"/>
  <c r="R13" i="15"/>
  <c r="S15" i="15"/>
  <c r="B179" i="24"/>
  <c r="C177" i="24"/>
  <c r="G178" i="24"/>
  <c r="I178" i="24" s="1"/>
  <c r="K178" i="24" s="1"/>
  <c r="S9" i="15" l="1"/>
  <c r="S7" i="15" s="1"/>
  <c r="S13" i="15"/>
  <c r="B180" i="24"/>
  <c r="G179" i="24"/>
  <c r="C178" i="24"/>
  <c r="I179" i="24" l="1"/>
  <c r="K179" i="24" s="1"/>
  <c r="B181" i="24"/>
  <c r="G180" i="24"/>
  <c r="I180" i="24" s="1"/>
  <c r="K180" i="24" s="1"/>
  <c r="C179" i="24"/>
  <c r="B182" i="24" l="1"/>
  <c r="G181" i="24"/>
  <c r="I181" i="24" s="1"/>
  <c r="K181" i="24" s="1"/>
  <c r="C180" i="24"/>
  <c r="B183" i="24" l="1"/>
  <c r="G182" i="24"/>
  <c r="I182" i="24" s="1"/>
  <c r="K182" i="24" s="1"/>
  <c r="C181" i="24"/>
  <c r="B184" i="24" l="1"/>
  <c r="G183" i="24"/>
  <c r="I183" i="24" s="1"/>
  <c r="K183" i="24" s="1"/>
  <c r="C182" i="24"/>
  <c r="B185" i="24" l="1"/>
  <c r="C183" i="24"/>
  <c r="G184" i="24"/>
  <c r="I184" i="24" l="1"/>
  <c r="K184" i="24" s="1"/>
  <c r="M184" i="24"/>
  <c r="AB4" i="24" s="1"/>
  <c r="K12" i="6" s="1"/>
  <c r="B186" i="24"/>
  <c r="G185" i="24"/>
  <c r="C184" i="24"/>
  <c r="K10" i="6" l="1"/>
  <c r="I185" i="24"/>
  <c r="K185" i="24" s="1"/>
  <c r="B187" i="24"/>
  <c r="C185" i="24"/>
  <c r="G186" i="24"/>
  <c r="I186" i="24" s="1"/>
  <c r="K186" i="24" s="1"/>
  <c r="B188" i="24" l="1"/>
  <c r="G187" i="24"/>
  <c r="I187" i="24" s="1"/>
  <c r="K187" i="24" s="1"/>
  <c r="C186" i="24"/>
  <c r="B189" i="24" l="1"/>
  <c r="G188" i="24"/>
  <c r="C187" i="24"/>
  <c r="I188" i="24" l="1"/>
  <c r="K188" i="24" s="1"/>
  <c r="B190" i="24"/>
  <c r="G189" i="24"/>
  <c r="I189" i="24" s="1"/>
  <c r="K189" i="24" s="1"/>
  <c r="C188" i="24"/>
  <c r="B191" i="24" l="1"/>
  <c r="G190" i="24"/>
  <c r="I190" i="24" s="1"/>
  <c r="K190" i="24" s="1"/>
  <c r="C189" i="24"/>
  <c r="B192" i="24" l="1"/>
  <c r="G191" i="24"/>
  <c r="I191" i="24" s="1"/>
  <c r="K191" i="24" s="1"/>
  <c r="C190" i="24"/>
  <c r="B193" i="24" l="1"/>
  <c r="C191" i="24"/>
  <c r="G192" i="24"/>
  <c r="I192" i="24" s="1"/>
  <c r="K192" i="24" s="1"/>
  <c r="B194" i="24" l="1"/>
  <c r="B195" i="24" s="1"/>
  <c r="G193" i="24"/>
  <c r="I193" i="24" s="1"/>
  <c r="K193" i="24" s="1"/>
  <c r="C192" i="24"/>
  <c r="B196" i="24" l="1"/>
  <c r="G196" i="24" s="1"/>
  <c r="I196" i="24" s="1"/>
  <c r="G195" i="24"/>
  <c r="I195" i="24" s="1"/>
  <c r="C193" i="24"/>
  <c r="G194" i="24"/>
  <c r="G197" i="24" l="1"/>
  <c r="M194" i="24"/>
  <c r="M197" i="24" s="1"/>
  <c r="I194" i="24"/>
  <c r="I197" i="24" s="1"/>
  <c r="AC4" i="24" l="1"/>
  <c r="AE4" i="24" s="1"/>
  <c r="K194" i="24"/>
  <c r="K197" i="24"/>
  <c r="L12" i="6" l="1"/>
  <c r="L10" i="6" l="1"/>
  <c r="R28" i="2"/>
  <c r="C11" i="20"/>
  <c r="E19" i="2" l="1"/>
  <c r="E15" i="2" s="1"/>
  <c r="E7" i="6"/>
  <c r="E40" i="6" s="1"/>
  <c r="F7" i="6"/>
  <c r="G7" i="6"/>
  <c r="H7" i="6"/>
  <c r="I7" i="6"/>
  <c r="J7" i="6"/>
  <c r="K7" i="6"/>
  <c r="K19" i="2" l="1"/>
  <c r="K15" i="2" s="1"/>
  <c r="J40" i="6"/>
  <c r="L19" i="2"/>
  <c r="L15" i="2" s="1"/>
  <c r="L55" i="2" s="1"/>
  <c r="K40" i="6"/>
  <c r="J19" i="2"/>
  <c r="J15" i="2" s="1"/>
  <c r="J55" i="2" s="1"/>
  <c r="I40" i="6"/>
  <c r="I19" i="2"/>
  <c r="I15" i="2" s="1"/>
  <c r="I55" i="2" s="1"/>
  <c r="H40" i="6"/>
  <c r="H19" i="2"/>
  <c r="H15" i="2" s="1"/>
  <c r="H55" i="2" s="1"/>
  <c r="G40" i="6"/>
  <c r="G19" i="2"/>
  <c r="G15" i="2" s="1"/>
  <c r="G55" i="2" s="1"/>
  <c r="F40" i="6"/>
  <c r="F19" i="2"/>
  <c r="F15" i="2" s="1"/>
  <c r="F55" i="2" s="1"/>
  <c r="L25" i="29"/>
  <c r="O25" i="29"/>
  <c r="K25" i="29"/>
  <c r="G25" i="29"/>
  <c r="J25" i="29"/>
  <c r="F25" i="29"/>
  <c r="H25" i="29"/>
  <c r="N25" i="29"/>
  <c r="M25" i="29"/>
  <c r="I25" i="29"/>
  <c r="M55" i="2"/>
  <c r="E55" i="2"/>
  <c r="N55" i="2"/>
  <c r="P55" i="2"/>
  <c r="Q55" i="2"/>
  <c r="O55" i="2"/>
  <c r="K55" i="2"/>
  <c r="D15" i="22"/>
  <c r="D16" i="22" s="1"/>
  <c r="C15" i="22"/>
  <c r="D18" i="22" s="1"/>
  <c r="A15" i="22"/>
  <c r="B14" i="22" s="1"/>
  <c r="B13" i="22"/>
  <c r="M9" i="22"/>
  <c r="N9" i="22" s="1"/>
  <c r="O9" i="22" s="1"/>
  <c r="P9" i="22" s="1"/>
  <c r="Q9" i="22" s="1"/>
  <c r="R9" i="22" s="1"/>
  <c r="S9" i="22" s="1"/>
  <c r="T9" i="22" s="1"/>
  <c r="U9" i="22" s="1"/>
  <c r="V9" i="22" s="1"/>
  <c r="W9" i="22" s="1"/>
  <c r="X9" i="22" s="1"/>
  <c r="Y9" i="22" s="1"/>
  <c r="Z9" i="22" s="1"/>
  <c r="AA9" i="22" s="1"/>
  <c r="D5" i="22"/>
  <c r="F14" i="22" l="1"/>
  <c r="H14" i="22" s="1"/>
  <c r="F15" i="22"/>
  <c r="H15" i="22" s="1"/>
  <c r="J15" i="22" s="1"/>
  <c r="D19" i="22"/>
  <c r="A16" i="22"/>
  <c r="E15" i="22"/>
  <c r="B15" i="22" l="1"/>
  <c r="F16" i="22" s="1"/>
  <c r="A17" i="22"/>
  <c r="J14" i="22"/>
  <c r="D20" i="22"/>
  <c r="E16" i="22"/>
  <c r="H16" i="22" l="1"/>
  <c r="E17" i="22"/>
  <c r="A18" i="22"/>
  <c r="B16" i="22"/>
  <c r="F17" i="22" s="1"/>
  <c r="D21" i="22"/>
  <c r="H17" i="22" l="1"/>
  <c r="J17" i="22" s="1"/>
  <c r="D22" i="22"/>
  <c r="E18" i="22"/>
  <c r="J16" i="22"/>
  <c r="A19" i="22"/>
  <c r="B17" i="22"/>
  <c r="F18" i="22" s="1"/>
  <c r="H18" i="22" l="1"/>
  <c r="A20" i="22"/>
  <c r="B18" i="22"/>
  <c r="F19" i="22" s="1"/>
  <c r="E19" i="22"/>
  <c r="D23" i="22"/>
  <c r="H19" i="22" l="1"/>
  <c r="J19" i="22" s="1"/>
  <c r="B19" i="22"/>
  <c r="F20" i="22" s="1"/>
  <c r="A21" i="22"/>
  <c r="D24" i="22"/>
  <c r="K25" i="22" s="1"/>
  <c r="E20" i="22"/>
  <c r="J18" i="22"/>
  <c r="H20" i="22" l="1"/>
  <c r="J20" i="22" s="1"/>
  <c r="D25" i="22"/>
  <c r="E21" i="22"/>
  <c r="A22" i="22"/>
  <c r="B20" i="22"/>
  <c r="F21" i="22" s="1"/>
  <c r="L10" i="22"/>
  <c r="H21" i="22" l="1"/>
  <c r="J21" i="22" s="1"/>
  <c r="E22" i="22"/>
  <c r="A23" i="22"/>
  <c r="B21" i="22"/>
  <c r="F22" i="22" s="1"/>
  <c r="D26" i="22"/>
  <c r="H22" i="22" l="1"/>
  <c r="J22" i="22" s="1"/>
  <c r="A24" i="22"/>
  <c r="B22" i="22"/>
  <c r="F23" i="22" s="1"/>
  <c r="D27" i="22"/>
  <c r="E23" i="22"/>
  <c r="H23" i="22" l="1"/>
  <c r="J23" i="22" s="1"/>
  <c r="D28" i="22"/>
  <c r="E24" i="22"/>
  <c r="B23" i="22"/>
  <c r="F24" i="22" s="1"/>
  <c r="A25" i="22"/>
  <c r="E25" i="22" l="1"/>
  <c r="L25" i="22"/>
  <c r="H24" i="22"/>
  <c r="J24" i="22" s="1"/>
  <c r="B24" i="22"/>
  <c r="F25" i="22" s="1"/>
  <c r="A26" i="22"/>
  <c r="D29" i="22"/>
  <c r="D30" i="22" l="1"/>
  <c r="L11" i="22"/>
  <c r="B25" i="22"/>
  <c r="F26" i="22" s="1"/>
  <c r="A27" i="22"/>
  <c r="H25" i="22"/>
  <c r="J25" i="22" s="1"/>
  <c r="E26" i="22"/>
  <c r="H26" i="22" l="1"/>
  <c r="J26" i="22" s="1"/>
  <c r="E27" i="22"/>
  <c r="A28" i="22"/>
  <c r="B26" i="22"/>
  <c r="F27" i="22" s="1"/>
  <c r="D31" i="22"/>
  <c r="H27" i="22" l="1"/>
  <c r="J27" i="22" s="1"/>
  <c r="E28" i="22"/>
  <c r="D32" i="22"/>
  <c r="A29" i="22"/>
  <c r="B27" i="22"/>
  <c r="F28" i="22" s="1"/>
  <c r="H28" i="22" l="1"/>
  <c r="J28" i="22" s="1"/>
  <c r="E29" i="22"/>
  <c r="A30" i="22"/>
  <c r="B28" i="22"/>
  <c r="F29" i="22" s="1"/>
  <c r="D33" i="22"/>
  <c r="H29" i="22" l="1"/>
  <c r="J29" i="22" s="1"/>
  <c r="E30" i="22"/>
  <c r="D34" i="22"/>
  <c r="B29" i="22"/>
  <c r="F30" i="22" s="1"/>
  <c r="A31" i="22"/>
  <c r="H30" i="22" l="1"/>
  <c r="J30" i="22" s="1"/>
  <c r="A32" i="22"/>
  <c r="B30" i="22"/>
  <c r="F31" i="22" s="1"/>
  <c r="E31" i="22"/>
  <c r="D35" i="22"/>
  <c r="H31" i="22" l="1"/>
  <c r="J31" i="22" s="1"/>
  <c r="E32" i="22"/>
  <c r="D36" i="22"/>
  <c r="A33" i="22"/>
  <c r="B31" i="22"/>
  <c r="F32" i="22" s="1"/>
  <c r="H32" i="22" l="1"/>
  <c r="J32" i="22" s="1"/>
  <c r="D37" i="22"/>
  <c r="K37" i="22"/>
  <c r="E33" i="22"/>
  <c r="A34" i="22"/>
  <c r="B32" i="22"/>
  <c r="F33" i="22" s="1"/>
  <c r="H33" i="22" l="1"/>
  <c r="J33" i="22" s="1"/>
  <c r="B33" i="22"/>
  <c r="F34" i="22" s="1"/>
  <c r="A35" i="22"/>
  <c r="M10" i="22"/>
  <c r="E34" i="22"/>
  <c r="D38" i="22"/>
  <c r="H34" i="22" l="1"/>
  <c r="J34" i="22" s="1"/>
  <c r="A36" i="22"/>
  <c r="B34" i="22"/>
  <c r="F35" i="22" s="1"/>
  <c r="H35" i="22" s="1"/>
  <c r="J35" i="22" s="1"/>
  <c r="E35" i="22"/>
  <c r="D39" i="22"/>
  <c r="E36" i="22" l="1"/>
  <c r="D40" i="22"/>
  <c r="A37" i="22"/>
  <c r="B35" i="22"/>
  <c r="F36" i="22" s="1"/>
  <c r="L37" i="22" l="1"/>
  <c r="H36" i="22"/>
  <c r="J36" i="22" s="1"/>
  <c r="A38" i="22"/>
  <c r="B36" i="22"/>
  <c r="F37" i="22" s="1"/>
  <c r="D41" i="22"/>
  <c r="E37" i="22"/>
  <c r="H37" i="22" l="1"/>
  <c r="J37" i="22" s="1"/>
  <c r="B37" i="22"/>
  <c r="F38" i="22" s="1"/>
  <c r="A39" i="22"/>
  <c r="E38" i="22"/>
  <c r="D42" i="22"/>
  <c r="M11" i="22"/>
  <c r="H38" i="22" l="1"/>
  <c r="J38" i="22" s="1"/>
  <c r="A40" i="22"/>
  <c r="B38" i="22"/>
  <c r="F39" i="22" s="1"/>
  <c r="E39" i="22"/>
  <c r="D43" i="22"/>
  <c r="H39" i="22" l="1"/>
  <c r="J39" i="22" s="1"/>
  <c r="D44" i="22"/>
  <c r="E40" i="22"/>
  <c r="B39" i="22"/>
  <c r="F40" i="22" s="1"/>
  <c r="A41" i="22"/>
  <c r="H40" i="22" l="1"/>
  <c r="J40" i="22" s="1"/>
  <c r="A42" i="22"/>
  <c r="B40" i="22"/>
  <c r="F41" i="22" s="1"/>
  <c r="D45" i="22"/>
  <c r="E41" i="22"/>
  <c r="H41" i="22" l="1"/>
  <c r="J41" i="22" s="1"/>
  <c r="A43" i="22"/>
  <c r="B41" i="22"/>
  <c r="F42" i="22" s="1"/>
  <c r="E42" i="22"/>
  <c r="D46" i="22"/>
  <c r="H42" i="22" l="1"/>
  <c r="J42" i="22" s="1"/>
  <c r="D47" i="22"/>
  <c r="E43" i="22"/>
  <c r="A44" i="22"/>
  <c r="B42" i="22"/>
  <c r="F43" i="22" s="1"/>
  <c r="H43" i="22" l="1"/>
  <c r="J43" i="22" s="1"/>
  <c r="E44" i="22"/>
  <c r="A45" i="22"/>
  <c r="B43" i="22"/>
  <c r="F44" i="22" s="1"/>
  <c r="D48" i="22"/>
  <c r="H44" i="22" l="1"/>
  <c r="J44" i="22" s="1"/>
  <c r="D49" i="22"/>
  <c r="K49" i="22"/>
  <c r="A46" i="22"/>
  <c r="B44" i="22"/>
  <c r="F45" i="22" s="1"/>
  <c r="E45" i="22"/>
  <c r="H45" i="22" l="1"/>
  <c r="J45" i="22" s="1"/>
  <c r="B45" i="22"/>
  <c r="A47" i="22"/>
  <c r="F46" i="22"/>
  <c r="E46" i="22"/>
  <c r="N10" i="22"/>
  <c r="D50" i="22"/>
  <c r="H46" i="22" l="1"/>
  <c r="J46" i="22" s="1"/>
  <c r="E47" i="22"/>
  <c r="A48" i="22"/>
  <c r="B46" i="22"/>
  <c r="F47" i="22" s="1"/>
  <c r="D51" i="22"/>
  <c r="H47" i="22" l="1"/>
  <c r="J47" i="22" s="1"/>
  <c r="A49" i="22"/>
  <c r="B47" i="22"/>
  <c r="F48" i="22" s="1"/>
  <c r="D52" i="22"/>
  <c r="E48" i="22"/>
  <c r="E49" i="22" l="1"/>
  <c r="D53" i="22"/>
  <c r="L49" i="22"/>
  <c r="H48" i="22"/>
  <c r="J48" i="22" s="1"/>
  <c r="A50" i="22"/>
  <c r="B48" i="22"/>
  <c r="F49" i="22" s="1"/>
  <c r="H49" i="22" l="1"/>
  <c r="J49" i="22" s="1"/>
  <c r="B49" i="22"/>
  <c r="F50" i="22" s="1"/>
  <c r="A51" i="22"/>
  <c r="D54" i="22"/>
  <c r="E50" i="22"/>
  <c r="N11" i="22"/>
  <c r="H50" i="22" l="1"/>
  <c r="J50" i="22" s="1"/>
  <c r="B50" i="22"/>
  <c r="F51" i="22" s="1"/>
  <c r="A52" i="22"/>
  <c r="E51" i="22"/>
  <c r="D55" i="22"/>
  <c r="H51" i="22" l="1"/>
  <c r="J51" i="22" s="1"/>
  <c r="D56" i="22"/>
  <c r="B51" i="22"/>
  <c r="F52" i="22" s="1"/>
  <c r="A53" i="22"/>
  <c r="E52" i="22"/>
  <c r="H52" i="22" l="1"/>
  <c r="J52" i="22" s="1"/>
  <c r="E53" i="22"/>
  <c r="A54" i="22"/>
  <c r="B52" i="22"/>
  <c r="F53" i="22" s="1"/>
  <c r="D57" i="22"/>
  <c r="H53" i="22" l="1"/>
  <c r="J53" i="22" s="1"/>
  <c r="D58" i="22"/>
  <c r="E54" i="22"/>
  <c r="A55" i="22"/>
  <c r="B53" i="22"/>
  <c r="F54" i="22" s="1"/>
  <c r="H54" i="22" l="1"/>
  <c r="J54" i="22" s="1"/>
  <c r="B54" i="22"/>
  <c r="F55" i="22" s="1"/>
  <c r="A56" i="22"/>
  <c r="D59" i="22"/>
  <c r="E55" i="22"/>
  <c r="H55" i="22" l="1"/>
  <c r="J55" i="22" s="1"/>
  <c r="E56" i="22"/>
  <c r="B55" i="22"/>
  <c r="F56" i="22" s="1"/>
  <c r="A57" i="22"/>
  <c r="D60" i="22"/>
  <c r="H56" i="22" l="1"/>
  <c r="J56" i="22" s="1"/>
  <c r="E57" i="22"/>
  <c r="A58" i="22"/>
  <c r="B56" i="22"/>
  <c r="F57" i="22" s="1"/>
  <c r="D61" i="22"/>
  <c r="K61" i="22"/>
  <c r="H57" i="22" l="1"/>
  <c r="J57" i="22" s="1"/>
  <c r="A59" i="22"/>
  <c r="B57" i="22"/>
  <c r="F58" i="22" s="1"/>
  <c r="O10" i="22"/>
  <c r="D62" i="22"/>
  <c r="E58" i="22"/>
  <c r="H58" i="22" l="1"/>
  <c r="J58" i="22" s="1"/>
  <c r="E59" i="22"/>
  <c r="D63" i="22"/>
  <c r="B58" i="22"/>
  <c r="F59" i="22" s="1"/>
  <c r="A60" i="22"/>
  <c r="H59" i="22" l="1"/>
  <c r="J59" i="22" s="1"/>
  <c r="B59" i="22"/>
  <c r="F60" i="22" s="1"/>
  <c r="A61" i="22"/>
  <c r="E60" i="22"/>
  <c r="D64" i="22"/>
  <c r="E61" i="22" l="1"/>
  <c r="B60" i="22"/>
  <c r="F61" i="22" s="1"/>
  <c r="A62" i="22"/>
  <c r="L61" i="22"/>
  <c r="H60" i="22"/>
  <c r="J60" i="22" s="1"/>
  <c r="D65" i="22"/>
  <c r="H61" i="22" l="1"/>
  <c r="J61" i="22" s="1"/>
  <c r="B61" i="22"/>
  <c r="F62" i="22" s="1"/>
  <c r="A63" i="22"/>
  <c r="D66" i="22"/>
  <c r="O11" i="22"/>
  <c r="E62" i="22"/>
  <c r="H62" i="22" l="1"/>
  <c r="J62" i="22" s="1"/>
  <c r="A64" i="22"/>
  <c r="B62" i="22"/>
  <c r="F63" i="22" s="1"/>
  <c r="E63" i="22"/>
  <c r="D67" i="22"/>
  <c r="H63" i="22" l="1"/>
  <c r="J63" i="22" s="1"/>
  <c r="E64" i="22"/>
  <c r="D68" i="22"/>
  <c r="A65" i="22"/>
  <c r="B63" i="22"/>
  <c r="F64" i="22" s="1"/>
  <c r="H64" i="22" l="1"/>
  <c r="J64" i="22" s="1"/>
  <c r="B64" i="22"/>
  <c r="F65" i="22" s="1"/>
  <c r="A66" i="22"/>
  <c r="E65" i="22"/>
  <c r="D69" i="22"/>
  <c r="H65" i="22" l="1"/>
  <c r="J65" i="22" s="1"/>
  <c r="B65" i="22"/>
  <c r="F66" i="22" s="1"/>
  <c r="A67" i="22"/>
  <c r="D70" i="22"/>
  <c r="E66" i="22"/>
  <c r="H66" i="22" l="1"/>
  <c r="J66" i="22" s="1"/>
  <c r="A68" i="22"/>
  <c r="B66" i="22"/>
  <c r="F67" i="22" s="1"/>
  <c r="E67" i="22"/>
  <c r="D71" i="22"/>
  <c r="H67" i="22" l="1"/>
  <c r="J67" i="22" s="1"/>
  <c r="E68" i="22"/>
  <c r="D72" i="22"/>
  <c r="A69" i="22"/>
  <c r="B67" i="22"/>
  <c r="F68" i="22" s="1"/>
  <c r="H68" i="22" l="1"/>
  <c r="J68" i="22" s="1"/>
  <c r="E69" i="22"/>
  <c r="D73" i="22"/>
  <c r="K73" i="22"/>
  <c r="B68" i="22"/>
  <c r="F69" i="22" s="1"/>
  <c r="A70" i="22"/>
  <c r="H69" i="22" l="1"/>
  <c r="J69" i="22" s="1"/>
  <c r="B69" i="22"/>
  <c r="F70" i="22" s="1"/>
  <c r="A71" i="22"/>
  <c r="E70" i="22"/>
  <c r="D74" i="22"/>
  <c r="P10" i="22"/>
  <c r="H70" i="22" l="1"/>
  <c r="J70" i="22" s="1"/>
  <c r="A72" i="22"/>
  <c r="B70" i="22"/>
  <c r="F71" i="22" s="1"/>
  <c r="D75" i="22"/>
  <c r="E71" i="22"/>
  <c r="H71" i="22" l="1"/>
  <c r="J71" i="22" s="1"/>
  <c r="E72" i="22"/>
  <c r="D76" i="22"/>
  <c r="A73" i="22"/>
  <c r="B71" i="22"/>
  <c r="F72" i="22" s="1"/>
  <c r="L73" i="22" l="1"/>
  <c r="H72" i="22"/>
  <c r="J72" i="22" s="1"/>
  <c r="D77" i="22"/>
  <c r="A74" i="22"/>
  <c r="B72" i="22"/>
  <c r="F73" i="22" s="1"/>
  <c r="E73" i="22"/>
  <c r="E74" i="22" l="1"/>
  <c r="H73" i="22"/>
  <c r="J73" i="22" s="1"/>
  <c r="D78" i="22"/>
  <c r="B73" i="22"/>
  <c r="F74" i="22" s="1"/>
  <c r="A75" i="22"/>
  <c r="P11" i="22"/>
  <c r="H74" i="22" l="1"/>
  <c r="J74" i="22" s="1"/>
  <c r="D79" i="22"/>
  <c r="E75" i="22"/>
  <c r="B74" i="22"/>
  <c r="F75" i="22" s="1"/>
  <c r="A76" i="22"/>
  <c r="H75" i="22" l="1"/>
  <c r="J75" i="22" s="1"/>
  <c r="B75" i="22"/>
  <c r="F76" i="22" s="1"/>
  <c r="A77" i="22"/>
  <c r="E76" i="22"/>
  <c r="D80" i="22"/>
  <c r="H76" i="22" l="1"/>
  <c r="J76" i="22" s="1"/>
  <c r="A78" i="22"/>
  <c r="B76" i="22"/>
  <c r="F77" i="22" s="1"/>
  <c r="E77" i="22"/>
  <c r="D81" i="22"/>
  <c r="H77" i="22" l="1"/>
  <c r="J77" i="22" s="1"/>
  <c r="D82" i="22"/>
  <c r="A79" i="22"/>
  <c r="B77" i="22"/>
  <c r="F78" i="22" s="1"/>
  <c r="E78" i="22"/>
  <c r="H78" i="22" l="1"/>
  <c r="J78" i="22" s="1"/>
  <c r="A80" i="22"/>
  <c r="B78" i="22"/>
  <c r="F79" i="22" s="1"/>
  <c r="E79" i="22"/>
  <c r="D83" i="22"/>
  <c r="H79" i="22" l="1"/>
  <c r="J79" i="22" s="1"/>
  <c r="E80" i="22"/>
  <c r="D84" i="22"/>
  <c r="B79" i="22"/>
  <c r="F80" i="22" s="1"/>
  <c r="A81" i="22"/>
  <c r="H80" i="22" l="1"/>
  <c r="J80" i="22" s="1"/>
  <c r="A82" i="22"/>
  <c r="B80" i="22"/>
  <c r="F81" i="22" s="1"/>
  <c r="D85" i="22"/>
  <c r="K85" i="22"/>
  <c r="Q10" i="22" s="1"/>
  <c r="E81" i="22"/>
  <c r="H81" i="22" l="1"/>
  <c r="J81" i="22" s="1"/>
  <c r="E82" i="22"/>
  <c r="D86" i="22"/>
  <c r="B81" i="22"/>
  <c r="F82" i="22" s="1"/>
  <c r="A83" i="22"/>
  <c r="H82" i="22" l="1"/>
  <c r="J82" i="22" s="1"/>
  <c r="A84" i="22"/>
  <c r="B82" i="22"/>
  <c r="F83" i="22" s="1"/>
  <c r="D87" i="22"/>
  <c r="E83" i="22"/>
  <c r="H83" i="22" l="1"/>
  <c r="J83" i="22" s="1"/>
  <c r="E84" i="22"/>
  <c r="D88" i="22"/>
  <c r="B83" i="22"/>
  <c r="F84" i="22" s="1"/>
  <c r="A85" i="22"/>
  <c r="A86" i="22" l="1"/>
  <c r="B84" i="22"/>
  <c r="F85" i="22" s="1"/>
  <c r="D89" i="22"/>
  <c r="E85" i="22"/>
  <c r="L85" i="22"/>
  <c r="Q11" i="22" s="1"/>
  <c r="H84" i="22"/>
  <c r="J84" i="22" s="1"/>
  <c r="D90" i="22" l="1"/>
  <c r="H85" i="22"/>
  <c r="J85" i="22" s="1"/>
  <c r="E86" i="22"/>
  <c r="B85" i="22"/>
  <c r="F86" i="22" s="1"/>
  <c r="A87" i="22"/>
  <c r="H86" i="22" l="1"/>
  <c r="J86" i="22" s="1"/>
  <c r="E87" i="22"/>
  <c r="A88" i="22"/>
  <c r="B86" i="22"/>
  <c r="F87" i="22" s="1"/>
  <c r="D91" i="22"/>
  <c r="H87" i="22" l="1"/>
  <c r="J87" i="22" s="1"/>
  <c r="E88" i="22"/>
  <c r="D92" i="22"/>
  <c r="B87" i="22"/>
  <c r="F88" i="22" s="1"/>
  <c r="A89" i="22"/>
  <c r="H88" i="22" l="1"/>
  <c r="J88" i="22" s="1"/>
  <c r="A90" i="22"/>
  <c r="B88" i="22"/>
  <c r="F89" i="22" s="1"/>
  <c r="D93" i="22"/>
  <c r="E89" i="22"/>
  <c r="H89" i="22" l="1"/>
  <c r="J89" i="22" s="1"/>
  <c r="E90" i="22"/>
  <c r="B89" i="22"/>
  <c r="F90" i="22" s="1"/>
  <c r="A91" i="22"/>
  <c r="D94" i="22"/>
  <c r="H90" i="22" l="1"/>
  <c r="J90" i="22" s="1"/>
  <c r="A92" i="22"/>
  <c r="B90" i="22"/>
  <c r="F91" i="22" s="1"/>
  <c r="D95" i="22"/>
  <c r="E91" i="22"/>
  <c r="H91" i="22" l="1"/>
  <c r="J91" i="22" s="1"/>
  <c r="D96" i="22"/>
  <c r="E92" i="22"/>
  <c r="B91" i="22"/>
  <c r="F92" i="22" s="1"/>
  <c r="A93" i="22"/>
  <c r="H10" i="11" l="1"/>
  <c r="H15" i="11" s="1"/>
  <c r="H92" i="22"/>
  <c r="J92" i="22" s="1"/>
  <c r="E93" i="22"/>
  <c r="A94" i="22"/>
  <c r="B92" i="22"/>
  <c r="F93" i="22" s="1"/>
  <c r="H93" i="22" s="1"/>
  <c r="J93" i="22" s="1"/>
  <c r="D97" i="22"/>
  <c r="K97" i="22"/>
  <c r="R10" i="22" s="1"/>
  <c r="B93" i="22" l="1"/>
  <c r="F94" i="22" s="1"/>
  <c r="A95" i="22"/>
  <c r="D98" i="22"/>
  <c r="E94" i="22"/>
  <c r="F23" i="29" l="1"/>
  <c r="H94" i="22"/>
  <c r="J94" i="22" s="1"/>
  <c r="E95" i="22"/>
  <c r="A96" i="22"/>
  <c r="B94" i="22"/>
  <c r="F95" i="22" s="1"/>
  <c r="D99" i="22"/>
  <c r="H95" i="22" l="1"/>
  <c r="J95" i="22" s="1"/>
  <c r="D100" i="22"/>
  <c r="B95" i="22"/>
  <c r="F96" i="22" s="1"/>
  <c r="I10" i="11" s="1"/>
  <c r="A97" i="22"/>
  <c r="E96" i="22"/>
  <c r="I15" i="11" l="1"/>
  <c r="L97" i="22"/>
  <c r="R11" i="22" s="1"/>
  <c r="H96" i="22"/>
  <c r="J96" i="22" s="1"/>
  <c r="E97" i="22"/>
  <c r="A98" i="22"/>
  <c r="B96" i="22"/>
  <c r="F97" i="22" s="1"/>
  <c r="D101" i="22"/>
  <c r="H97" i="22" l="1"/>
  <c r="J97" i="22" s="1"/>
  <c r="E98" i="22"/>
  <c r="D102" i="22"/>
  <c r="B97" i="22"/>
  <c r="F98" i="22" s="1"/>
  <c r="A99" i="22"/>
  <c r="F24" i="29" l="1"/>
  <c r="H98" i="22"/>
  <c r="J98" i="22" s="1"/>
  <c r="E99" i="22"/>
  <c r="A100" i="22"/>
  <c r="B98" i="22"/>
  <c r="F99" i="22" s="1"/>
  <c r="H99" i="22" s="1"/>
  <c r="J99" i="22" s="1"/>
  <c r="D103" i="22"/>
  <c r="F22" i="29" l="1"/>
  <c r="F26" i="29" s="1"/>
  <c r="D104" i="22"/>
  <c r="E100" i="22"/>
  <c r="B99" i="22"/>
  <c r="F100" i="22" s="1"/>
  <c r="H100" i="22" s="1"/>
  <c r="J100" i="22" s="1"/>
  <c r="A101" i="22"/>
  <c r="A102" i="22" l="1"/>
  <c r="B100" i="22"/>
  <c r="F101" i="22" s="1"/>
  <c r="E101" i="22"/>
  <c r="D105" i="22"/>
  <c r="H101" i="22" l="1"/>
  <c r="J101" i="22" s="1"/>
  <c r="E102" i="22"/>
  <c r="D106" i="22"/>
  <c r="B101" i="22"/>
  <c r="F102" i="22" s="1"/>
  <c r="H102" i="22" s="1"/>
  <c r="J102" i="22" s="1"/>
  <c r="A103" i="22"/>
  <c r="E103" i="22" l="1"/>
  <c r="A104" i="22"/>
  <c r="B102" i="22"/>
  <c r="F103" i="22" s="1"/>
  <c r="H103" i="22" s="1"/>
  <c r="J103" i="22" s="1"/>
  <c r="D107" i="22"/>
  <c r="B103" i="22" l="1"/>
  <c r="F104" i="22" s="1"/>
  <c r="H104" i="22" s="1"/>
  <c r="J104" i="22" s="1"/>
  <c r="A105" i="22"/>
  <c r="D108" i="22"/>
  <c r="E104" i="22"/>
  <c r="A106" i="22" l="1"/>
  <c r="B104" i="22"/>
  <c r="D109" i="22"/>
  <c r="K109" i="22"/>
  <c r="S10" i="22" s="1"/>
  <c r="E105" i="22"/>
  <c r="F105" i="22"/>
  <c r="H105" i="22" s="1"/>
  <c r="J105" i="22" s="1"/>
  <c r="E13" i="20" l="1"/>
  <c r="E19" i="20" s="1"/>
  <c r="D110" i="22"/>
  <c r="E106" i="22"/>
  <c r="B105" i="22"/>
  <c r="F106" i="22" s="1"/>
  <c r="H106" i="22" s="1"/>
  <c r="J106" i="22" s="1"/>
  <c r="A107" i="22"/>
  <c r="E17" i="2" l="1"/>
  <c r="E13" i="2" s="1"/>
  <c r="E53" i="2" s="1"/>
  <c r="G23" i="29"/>
  <c r="G14" i="15"/>
  <c r="G8" i="15" s="1"/>
  <c r="D111" i="22"/>
  <c r="A108" i="22"/>
  <c r="B106" i="22"/>
  <c r="F107" i="22" s="1"/>
  <c r="H107" i="22" s="1"/>
  <c r="J107" i="22" s="1"/>
  <c r="E107" i="22"/>
  <c r="B107" i="22" l="1"/>
  <c r="F108" i="22" s="1"/>
  <c r="A109" i="22"/>
  <c r="E108" i="22"/>
  <c r="D112" i="22"/>
  <c r="E109" i="22" l="1"/>
  <c r="L109" i="22"/>
  <c r="S11" i="22" s="1"/>
  <c r="H108" i="22"/>
  <c r="J108" i="22" s="1"/>
  <c r="A110" i="22"/>
  <c r="B108" i="22"/>
  <c r="F109" i="22" s="1"/>
  <c r="D113" i="22"/>
  <c r="F13" i="20" l="1"/>
  <c r="F19" i="20" s="1"/>
  <c r="H109" i="22"/>
  <c r="J109" i="22" s="1"/>
  <c r="D114" i="22"/>
  <c r="B109" i="22"/>
  <c r="F110" i="22" s="1"/>
  <c r="H110" i="22" s="1"/>
  <c r="J110" i="22" s="1"/>
  <c r="A111" i="22"/>
  <c r="E110" i="22"/>
  <c r="E18" i="2" l="1"/>
  <c r="E14" i="2" s="1"/>
  <c r="E54" i="2" s="1"/>
  <c r="E111" i="22"/>
  <c r="D115" i="22"/>
  <c r="A112" i="22"/>
  <c r="B110" i="22"/>
  <c r="F111" i="22" s="1"/>
  <c r="G15" i="15" l="1"/>
  <c r="G9" i="15" s="1"/>
  <c r="G24" i="29"/>
  <c r="G22" i="29"/>
  <c r="G26" i="29" s="1"/>
  <c r="H111" i="22"/>
  <c r="J111" i="22" s="1"/>
  <c r="D116" i="22"/>
  <c r="B111" i="22"/>
  <c r="F112" i="22" s="1"/>
  <c r="H112" i="22" s="1"/>
  <c r="J112" i="22" s="1"/>
  <c r="A113" i="22"/>
  <c r="E112" i="22"/>
  <c r="D117" i="22" l="1"/>
  <c r="A114" i="22"/>
  <c r="B112" i="22"/>
  <c r="F113" i="22" s="1"/>
  <c r="E113" i="22"/>
  <c r="H113" i="22" l="1"/>
  <c r="J113" i="22" s="1"/>
  <c r="A115" i="22"/>
  <c r="B113" i="22"/>
  <c r="F114" i="22" s="1"/>
  <c r="H114" i="22" s="1"/>
  <c r="J114" i="22" s="1"/>
  <c r="E114" i="22"/>
  <c r="D118" i="22"/>
  <c r="B114" i="22" l="1"/>
  <c r="F115" i="22" s="1"/>
  <c r="H115" i="22" s="1"/>
  <c r="J115" i="22" s="1"/>
  <c r="A116" i="22"/>
  <c r="D119" i="22"/>
  <c r="E115" i="22"/>
  <c r="B115" i="22" l="1"/>
  <c r="F116" i="22" s="1"/>
  <c r="H116" i="22" s="1"/>
  <c r="J116" i="22" s="1"/>
  <c r="A117" i="22"/>
  <c r="E116" i="22"/>
  <c r="D120" i="22"/>
  <c r="E117" i="22" l="1"/>
  <c r="B116" i="22"/>
  <c r="F117" i="22" s="1"/>
  <c r="H117" i="22" s="1"/>
  <c r="J117" i="22" s="1"/>
  <c r="A118" i="22"/>
  <c r="D121" i="22"/>
  <c r="K121" i="22"/>
  <c r="T10" i="22" s="1"/>
  <c r="E5" i="6" l="1"/>
  <c r="E38" i="6" s="1"/>
  <c r="G13" i="20"/>
  <c r="G19" i="20" s="1"/>
  <c r="A119" i="22"/>
  <c r="B117" i="22"/>
  <c r="F118" i="22" s="1"/>
  <c r="H118" i="22" s="1"/>
  <c r="J118" i="22" s="1"/>
  <c r="D122" i="22"/>
  <c r="E118" i="22"/>
  <c r="H23" i="29" l="1"/>
  <c r="E119" i="22"/>
  <c r="D123" i="22"/>
  <c r="A120" i="22"/>
  <c r="B118" i="22"/>
  <c r="F119" i="22" s="1"/>
  <c r="H119" i="22" s="1"/>
  <c r="J119" i="22" s="1"/>
  <c r="D124" i="22" l="1"/>
  <c r="E120" i="22"/>
  <c r="B119" i="22"/>
  <c r="F120" i="22" s="1"/>
  <c r="A121" i="22"/>
  <c r="E121" i="22" l="1"/>
  <c r="B120" i="22"/>
  <c r="F121" i="22" s="1"/>
  <c r="A122" i="22"/>
  <c r="L121" i="22"/>
  <c r="T11" i="22" s="1"/>
  <c r="H13" i="20" s="1"/>
  <c r="H19" i="20" s="1"/>
  <c r="H120" i="22"/>
  <c r="J120" i="22" s="1"/>
  <c r="D125" i="22"/>
  <c r="E6" i="6" l="1"/>
  <c r="H121" i="22"/>
  <c r="J121" i="22" s="1"/>
  <c r="B121" i="22"/>
  <c r="F122" i="22" s="1"/>
  <c r="H122" i="22" s="1"/>
  <c r="J122" i="22" s="1"/>
  <c r="A123" i="22"/>
  <c r="D126" i="22"/>
  <c r="E122" i="22"/>
  <c r="E39" i="6" l="1"/>
  <c r="F54" i="2"/>
  <c r="B122" i="22"/>
  <c r="F123" i="22" s="1"/>
  <c r="H123" i="22" s="1"/>
  <c r="J123" i="22" s="1"/>
  <c r="A124" i="22"/>
  <c r="E123" i="22"/>
  <c r="D127" i="22"/>
  <c r="H24" i="29" l="1"/>
  <c r="H22" i="29" s="1"/>
  <c r="H26" i="29" s="1"/>
  <c r="A125" i="22"/>
  <c r="B123" i="22"/>
  <c r="E124" i="22"/>
  <c r="F124" i="22"/>
  <c r="H124" i="22" s="1"/>
  <c r="J124" i="22" s="1"/>
  <c r="D128" i="22"/>
  <c r="E125" i="22" l="1"/>
  <c r="D129" i="22"/>
  <c r="A126" i="22"/>
  <c r="B124" i="22"/>
  <c r="F125" i="22" s="1"/>
  <c r="H125" i="22" l="1"/>
  <c r="J125" i="22" s="1"/>
  <c r="D130" i="22"/>
  <c r="B125" i="22"/>
  <c r="A127" i="22"/>
  <c r="F126" i="22"/>
  <c r="H126" i="22" s="1"/>
  <c r="J126" i="22" s="1"/>
  <c r="E126" i="22"/>
  <c r="E127" i="22" l="1"/>
  <c r="D131" i="22"/>
  <c r="B126" i="22"/>
  <c r="F127" i="22" s="1"/>
  <c r="H127" i="22" s="1"/>
  <c r="J127" i="22" s="1"/>
  <c r="A128" i="22"/>
  <c r="D132" i="22" l="1"/>
  <c r="A129" i="22"/>
  <c r="B127" i="22"/>
  <c r="F128" i="22" s="1"/>
  <c r="H128" i="22" s="1"/>
  <c r="J128" i="22" s="1"/>
  <c r="E128" i="22"/>
  <c r="A130" i="22" l="1"/>
  <c r="B128" i="22"/>
  <c r="F129" i="22" s="1"/>
  <c r="H129" i="22" s="1"/>
  <c r="J129" i="22" s="1"/>
  <c r="E129" i="22"/>
  <c r="D133" i="22"/>
  <c r="K133" i="22"/>
  <c r="U10" i="22" s="1"/>
  <c r="F5" i="6" l="1"/>
  <c r="H14" i="15" s="1"/>
  <c r="H8" i="15" s="1"/>
  <c r="I13" i="20"/>
  <c r="I19" i="20" s="1"/>
  <c r="E130" i="22"/>
  <c r="D134" i="22"/>
  <c r="B129" i="22"/>
  <c r="F130" i="22" s="1"/>
  <c r="H130" i="22" s="1"/>
  <c r="J130" i="22" s="1"/>
  <c r="A131" i="22"/>
  <c r="G53" i="2" l="1"/>
  <c r="I23" i="29"/>
  <c r="B130" i="22"/>
  <c r="F131" i="22" s="1"/>
  <c r="H131" i="22" s="1"/>
  <c r="J131" i="22" s="1"/>
  <c r="A132" i="22"/>
  <c r="D135" i="22"/>
  <c r="E131" i="22"/>
  <c r="D136" i="22" l="1"/>
  <c r="A133" i="22"/>
  <c r="B131" i="22"/>
  <c r="F132" i="22" s="1"/>
  <c r="E132" i="22"/>
  <c r="A134" i="22" l="1"/>
  <c r="B132" i="22"/>
  <c r="F133" i="22" s="1"/>
  <c r="L133" i="22"/>
  <c r="U11" i="22" s="1"/>
  <c r="H132" i="22"/>
  <c r="J132" i="22" s="1"/>
  <c r="E133" i="22"/>
  <c r="D137" i="22"/>
  <c r="F6" i="6" l="1"/>
  <c r="J13" i="20"/>
  <c r="J19" i="20" s="1"/>
  <c r="H133" i="22"/>
  <c r="J133" i="22" s="1"/>
  <c r="D138" i="22"/>
  <c r="E134" i="22"/>
  <c r="A135" i="22"/>
  <c r="B133" i="22"/>
  <c r="F134" i="22" s="1"/>
  <c r="H134" i="22" s="1"/>
  <c r="J134" i="22" s="1"/>
  <c r="F24" i="17" l="1"/>
  <c r="G54" i="2"/>
  <c r="I24" i="29"/>
  <c r="I22" i="29"/>
  <c r="I26" i="29" s="1"/>
  <c r="D139" i="22"/>
  <c r="A136" i="22"/>
  <c r="B134" i="22"/>
  <c r="F135" i="22" s="1"/>
  <c r="E135" i="22"/>
  <c r="H15" i="15" l="1"/>
  <c r="H9" i="15" s="1"/>
  <c r="H7" i="15" s="1"/>
  <c r="H135" i="22"/>
  <c r="J135" i="22" s="1"/>
  <c r="B135" i="22"/>
  <c r="F136" i="22" s="1"/>
  <c r="A137" i="22"/>
  <c r="E136" i="22"/>
  <c r="D140" i="22"/>
  <c r="H136" i="22" l="1"/>
  <c r="J136" i="22" s="1"/>
  <c r="B136" i="22"/>
  <c r="F137" i="22" s="1"/>
  <c r="A138" i="22"/>
  <c r="D141" i="22"/>
  <c r="E137" i="22"/>
  <c r="H137" i="22" l="1"/>
  <c r="J137" i="22" s="1"/>
  <c r="A139" i="22"/>
  <c r="B137" i="22"/>
  <c r="F138" i="22" s="1"/>
  <c r="H138" i="22" s="1"/>
  <c r="J138" i="22" s="1"/>
  <c r="E138" i="22"/>
  <c r="D142" i="22"/>
  <c r="A140" i="22" l="1"/>
  <c r="B138" i="22"/>
  <c r="F139" i="22" s="1"/>
  <c r="H139" i="22" s="1"/>
  <c r="J139" i="22" s="1"/>
  <c r="D143" i="22"/>
  <c r="E139" i="22"/>
  <c r="D144" i="22" l="1"/>
  <c r="E140" i="22"/>
  <c r="B139" i="22"/>
  <c r="F140" i="22" s="1"/>
  <c r="H140" i="22" s="1"/>
  <c r="J140" i="22" s="1"/>
  <c r="A141" i="22"/>
  <c r="E141" i="22" l="1"/>
  <c r="B140" i="22"/>
  <c r="F141" i="22" s="1"/>
  <c r="H141" i="22" s="1"/>
  <c r="J141" i="22" s="1"/>
  <c r="A142" i="22"/>
  <c r="D145" i="22"/>
  <c r="K145" i="22"/>
  <c r="V10" i="22" s="1"/>
  <c r="G5" i="6" s="1"/>
  <c r="I14" i="15" l="1"/>
  <c r="I8" i="15" s="1"/>
  <c r="A143" i="22"/>
  <c r="B141" i="22"/>
  <c r="F142" i="22" s="1"/>
  <c r="H142" i="22" s="1"/>
  <c r="J142" i="22" s="1"/>
  <c r="D146" i="22"/>
  <c r="E142" i="22"/>
  <c r="J23" i="29" l="1"/>
  <c r="D147" i="22"/>
  <c r="E143" i="22"/>
  <c r="A144" i="22"/>
  <c r="B142" i="22"/>
  <c r="F143" i="22" s="1"/>
  <c r="H143" i="22" s="1"/>
  <c r="J143" i="22" s="1"/>
  <c r="E144" i="22" l="1"/>
  <c r="B143" i="22"/>
  <c r="F144" i="22" s="1"/>
  <c r="A145" i="22"/>
  <c r="D148" i="22"/>
  <c r="L145" i="22" l="1"/>
  <c r="V11" i="22" s="1"/>
  <c r="G6" i="6" s="1"/>
  <c r="G24" i="17" s="1"/>
  <c r="H144" i="22"/>
  <c r="J144" i="22" s="1"/>
  <c r="B144" i="22"/>
  <c r="F145" i="22" s="1"/>
  <c r="A146" i="22"/>
  <c r="E145" i="22"/>
  <c r="D149" i="22"/>
  <c r="H145" i="22" l="1"/>
  <c r="J145" i="22" s="1"/>
  <c r="B145" i="22"/>
  <c r="F146" i="22" s="1"/>
  <c r="H146" i="22" s="1"/>
  <c r="J146" i="22" s="1"/>
  <c r="A147" i="22"/>
  <c r="D150" i="22"/>
  <c r="E146" i="22"/>
  <c r="J24" i="29" l="1"/>
  <c r="B146" i="22"/>
  <c r="F147" i="22" s="1"/>
  <c r="H147" i="22" s="1"/>
  <c r="J147" i="22" s="1"/>
  <c r="A148" i="22"/>
  <c r="E147" i="22"/>
  <c r="D151" i="22"/>
  <c r="I15" i="15" l="1"/>
  <c r="I9" i="15" s="1"/>
  <c r="I7" i="15" s="1"/>
  <c r="F22" i="17"/>
  <c r="J22" i="29"/>
  <c r="J26" i="29" s="1"/>
  <c r="A149" i="22"/>
  <c r="B147" i="22"/>
  <c r="F148" i="22" s="1"/>
  <c r="E148" i="22"/>
  <c r="D152" i="22"/>
  <c r="H148" i="22" l="1"/>
  <c r="J148" i="22" s="1"/>
  <c r="D153" i="22"/>
  <c r="E149" i="22"/>
  <c r="A150" i="22"/>
  <c r="B148" i="22"/>
  <c r="F149" i="22" s="1"/>
  <c r="H149" i="22" l="1"/>
  <c r="J149" i="22" s="1"/>
  <c r="A151" i="22"/>
  <c r="B149" i="22"/>
  <c r="F150" i="22" s="1"/>
  <c r="H150" i="22" s="1"/>
  <c r="J150" i="22" s="1"/>
  <c r="D154" i="22"/>
  <c r="E150" i="22"/>
  <c r="E151" i="22" l="1"/>
  <c r="A152" i="22"/>
  <c r="B150" i="22"/>
  <c r="F151" i="22" s="1"/>
  <c r="H151" i="22" s="1"/>
  <c r="J151" i="22" s="1"/>
  <c r="D155" i="22"/>
  <c r="B151" i="22" l="1"/>
  <c r="F152" i="22" s="1"/>
  <c r="H152" i="22" s="1"/>
  <c r="J152" i="22" s="1"/>
  <c r="A153" i="22"/>
  <c r="E152" i="22"/>
  <c r="D156" i="22"/>
  <c r="E153" i="22" l="1"/>
  <c r="A154" i="22"/>
  <c r="B152" i="22"/>
  <c r="F153" i="22" s="1"/>
  <c r="H153" i="22" s="1"/>
  <c r="J153" i="22" s="1"/>
  <c r="D157" i="22"/>
  <c r="K157" i="22"/>
  <c r="W10" i="22" s="1"/>
  <c r="H5" i="6" s="1"/>
  <c r="J14" i="15" s="1"/>
  <c r="J8" i="15" s="1"/>
  <c r="A155" i="22" l="1"/>
  <c r="B153" i="22"/>
  <c r="F154" i="22" s="1"/>
  <c r="H154" i="22" s="1"/>
  <c r="J154" i="22" s="1"/>
  <c r="D158" i="22"/>
  <c r="E154" i="22"/>
  <c r="K23" i="29" l="1"/>
  <c r="E155" i="22"/>
  <c r="D159" i="22"/>
  <c r="A156" i="22"/>
  <c r="B154" i="22"/>
  <c r="F155" i="22" s="1"/>
  <c r="H155" i="22" s="1"/>
  <c r="J155" i="22" s="1"/>
  <c r="D160" i="22" l="1"/>
  <c r="E156" i="22"/>
  <c r="B155" i="22"/>
  <c r="F156" i="22" s="1"/>
  <c r="A157" i="22"/>
  <c r="L157" i="22" l="1"/>
  <c r="W11" i="22" s="1"/>
  <c r="H6" i="6" s="1"/>
  <c r="H24" i="17" s="1"/>
  <c r="H156" i="22"/>
  <c r="J156" i="22" s="1"/>
  <c r="B156" i="22"/>
  <c r="F157" i="22" s="1"/>
  <c r="A158" i="22"/>
  <c r="E157" i="22"/>
  <c r="D161" i="22"/>
  <c r="B157" i="22" l="1"/>
  <c r="F158" i="22" s="1"/>
  <c r="H158" i="22" s="1"/>
  <c r="J158" i="22" s="1"/>
  <c r="A159" i="22"/>
  <c r="D162" i="22"/>
  <c r="H157" i="22"/>
  <c r="J157" i="22" s="1"/>
  <c r="E158" i="22"/>
  <c r="J15" i="15" l="1"/>
  <c r="J9" i="15" s="1"/>
  <c r="J7" i="15" s="1"/>
  <c r="I16" i="2"/>
  <c r="K24" i="29"/>
  <c r="D163" i="22"/>
  <c r="A160" i="22"/>
  <c r="B158" i="22"/>
  <c r="F159" i="22" s="1"/>
  <c r="E159" i="22"/>
  <c r="K22" i="29" l="1"/>
  <c r="K26" i="29" s="1"/>
  <c r="H159" i="22"/>
  <c r="J159" i="22" s="1"/>
  <c r="A161" i="22"/>
  <c r="B159" i="22"/>
  <c r="F160" i="22" s="1"/>
  <c r="E160" i="22"/>
  <c r="D164" i="22"/>
  <c r="H160" i="22" l="1"/>
  <c r="J160" i="22" s="1"/>
  <c r="D165" i="22"/>
  <c r="A162" i="22"/>
  <c r="B160" i="22"/>
  <c r="F161" i="22" s="1"/>
  <c r="H161" i="22" s="1"/>
  <c r="J161" i="22" s="1"/>
  <c r="E161" i="22"/>
  <c r="E162" i="22" l="1"/>
  <c r="D166" i="22"/>
  <c r="B161" i="22"/>
  <c r="F162" i="22" s="1"/>
  <c r="A163" i="22"/>
  <c r="H162" i="22" l="1"/>
  <c r="J162" i="22" s="1"/>
  <c r="D167" i="22"/>
  <c r="E163" i="22"/>
  <c r="A164" i="22"/>
  <c r="B162" i="22"/>
  <c r="F163" i="22" s="1"/>
  <c r="H163" i="22" s="1"/>
  <c r="J163" i="22" s="1"/>
  <c r="A165" i="22" l="1"/>
  <c r="B163" i="22"/>
  <c r="D168" i="22"/>
  <c r="F164" i="22"/>
  <c r="H164" i="22" s="1"/>
  <c r="J164" i="22" s="1"/>
  <c r="E164" i="22"/>
  <c r="D169" i="22" l="1"/>
  <c r="K169" i="22"/>
  <c r="X10" i="22" s="1"/>
  <c r="I5" i="6" s="1"/>
  <c r="K14" i="15" s="1"/>
  <c r="K8" i="15" s="1"/>
  <c r="E165" i="22"/>
  <c r="A166" i="22"/>
  <c r="B164" i="22"/>
  <c r="F165" i="22" s="1"/>
  <c r="H165" i="22" s="1"/>
  <c r="J165" i="22" s="1"/>
  <c r="B165" i="22" l="1"/>
  <c r="F166" i="22" s="1"/>
  <c r="H166" i="22" s="1"/>
  <c r="J166" i="22" s="1"/>
  <c r="A167" i="22"/>
  <c r="D170" i="22"/>
  <c r="E166" i="22"/>
  <c r="L23" i="29" l="1"/>
  <c r="D171" i="22"/>
  <c r="A168" i="22"/>
  <c r="B166" i="22"/>
  <c r="F167" i="22" s="1"/>
  <c r="H167" i="22" s="1"/>
  <c r="J167" i="22" s="1"/>
  <c r="E167" i="22"/>
  <c r="A169" i="22" l="1"/>
  <c r="B167" i="22"/>
  <c r="D172" i="22"/>
  <c r="F168" i="22"/>
  <c r="E168" i="22"/>
  <c r="L169" i="22" l="1"/>
  <c r="X11" i="22" s="1"/>
  <c r="I6" i="6" s="1"/>
  <c r="I24" i="17" s="1"/>
  <c r="H168" i="22"/>
  <c r="J168" i="22" s="1"/>
  <c r="D173" i="22"/>
  <c r="E169" i="22"/>
  <c r="A170" i="22"/>
  <c r="B168" i="22"/>
  <c r="F169" i="22" s="1"/>
  <c r="H169" i="22" l="1"/>
  <c r="J169" i="22" s="1"/>
  <c r="B169" i="22"/>
  <c r="F170" i="22" s="1"/>
  <c r="A171" i="22"/>
  <c r="E170" i="22"/>
  <c r="D174" i="22"/>
  <c r="K15" i="15" l="1"/>
  <c r="K9" i="15" s="1"/>
  <c r="K7" i="15" s="1"/>
  <c r="L24" i="29"/>
  <c r="H170" i="22"/>
  <c r="J170" i="22" s="1"/>
  <c r="A172" i="22"/>
  <c r="B170" i="22"/>
  <c r="F171" i="22" s="1"/>
  <c r="E171" i="22"/>
  <c r="D175" i="22"/>
  <c r="L22" i="29" l="1"/>
  <c r="L26" i="29" s="1"/>
  <c r="H171" i="22"/>
  <c r="J171" i="22" s="1"/>
  <c r="E172" i="22"/>
  <c r="B171" i="22"/>
  <c r="F172" i="22" s="1"/>
  <c r="H172" i="22" s="1"/>
  <c r="J172" i="22" s="1"/>
  <c r="A173" i="22"/>
  <c r="D176" i="22"/>
  <c r="E173" i="22" l="1"/>
  <c r="D177" i="22"/>
  <c r="A174" i="22"/>
  <c r="B172" i="22"/>
  <c r="F173" i="22" s="1"/>
  <c r="H173" i="22" l="1"/>
  <c r="J173" i="22" s="1"/>
  <c r="D178" i="22"/>
  <c r="A175" i="22"/>
  <c r="B173" i="22"/>
  <c r="F174" i="22" s="1"/>
  <c r="H174" i="22" s="1"/>
  <c r="J174" i="22" s="1"/>
  <c r="E174" i="22"/>
  <c r="E175" i="22" l="1"/>
  <c r="D179" i="22"/>
  <c r="A176" i="22"/>
  <c r="B174" i="22"/>
  <c r="F175" i="22" s="1"/>
  <c r="H175" i="22" s="1"/>
  <c r="J175" i="22" s="1"/>
  <c r="D180" i="22" l="1"/>
  <c r="E176" i="22"/>
  <c r="B175" i="22"/>
  <c r="F176" i="22" s="1"/>
  <c r="H176" i="22" s="1"/>
  <c r="J176" i="22" s="1"/>
  <c r="A177" i="22"/>
  <c r="E177" i="22" l="1"/>
  <c r="A178" i="22"/>
  <c r="B176" i="22"/>
  <c r="F177" i="22" s="1"/>
  <c r="H177" i="22" s="1"/>
  <c r="J177" i="22" s="1"/>
  <c r="D181" i="22"/>
  <c r="K181" i="22"/>
  <c r="Y10" i="22" s="1"/>
  <c r="J5" i="6" s="1"/>
  <c r="L14" i="15" s="1"/>
  <c r="L8" i="15" s="1"/>
  <c r="A179" i="22" l="1"/>
  <c r="B177" i="22"/>
  <c r="F178" i="22" s="1"/>
  <c r="H178" i="22" s="1"/>
  <c r="J178" i="22" s="1"/>
  <c r="D182" i="22"/>
  <c r="E178" i="22"/>
  <c r="M23" i="29" l="1"/>
  <c r="D183" i="22"/>
  <c r="E179" i="22"/>
  <c r="A180" i="22"/>
  <c r="B178" i="22"/>
  <c r="F179" i="22" s="1"/>
  <c r="H179" i="22" s="1"/>
  <c r="J179" i="22" s="1"/>
  <c r="E180" i="22" l="1"/>
  <c r="B179" i="22"/>
  <c r="F180" i="22" s="1"/>
  <c r="A181" i="22"/>
  <c r="D184" i="22"/>
  <c r="L181" i="22" l="1"/>
  <c r="Y11" i="22" s="1"/>
  <c r="J6" i="6" s="1"/>
  <c r="J24" i="17" s="1"/>
  <c r="H180" i="22"/>
  <c r="J180" i="22" s="1"/>
  <c r="B180" i="22"/>
  <c r="F181" i="22" s="1"/>
  <c r="A182" i="22"/>
  <c r="E181" i="22"/>
  <c r="D185" i="22"/>
  <c r="H181" i="22" l="1"/>
  <c r="J181" i="22" s="1"/>
  <c r="B181" i="22"/>
  <c r="F182" i="22" s="1"/>
  <c r="H182" i="22" s="1"/>
  <c r="J182" i="22" s="1"/>
  <c r="A183" i="22"/>
  <c r="D186" i="22"/>
  <c r="E182" i="22"/>
  <c r="L15" i="15" l="1"/>
  <c r="L9" i="15" s="1"/>
  <c r="L7" i="15" s="1"/>
  <c r="K16" i="2"/>
  <c r="M24" i="29"/>
  <c r="A184" i="22"/>
  <c r="B182" i="22"/>
  <c r="E183" i="22"/>
  <c r="F183" i="22"/>
  <c r="H183" i="22" s="1"/>
  <c r="J183" i="22" s="1"/>
  <c r="D187" i="22"/>
  <c r="M22" i="29" l="1"/>
  <c r="M26" i="29" s="1"/>
  <c r="E184" i="22"/>
  <c r="D188" i="22"/>
  <c r="A185" i="22"/>
  <c r="B183" i="22"/>
  <c r="F184" i="22" s="1"/>
  <c r="H184" i="22" l="1"/>
  <c r="J184" i="22" s="1"/>
  <c r="D189" i="22"/>
  <c r="A186" i="22"/>
  <c r="B184" i="22"/>
  <c r="F185" i="22" s="1"/>
  <c r="E185" i="22"/>
  <c r="H185" i="22" l="1"/>
  <c r="J185" i="22" s="1"/>
  <c r="E186" i="22"/>
  <c r="D190" i="22"/>
  <c r="B185" i="22"/>
  <c r="F186" i="22" s="1"/>
  <c r="H186" i="22" s="1"/>
  <c r="J186" i="22" s="1"/>
  <c r="A187" i="22"/>
  <c r="E187" i="22" l="1"/>
  <c r="A188" i="22"/>
  <c r="B186" i="22"/>
  <c r="F187" i="22" s="1"/>
  <c r="H187" i="22" s="1"/>
  <c r="J187" i="22" s="1"/>
  <c r="D191" i="22"/>
  <c r="A189" i="22" l="1"/>
  <c r="B187" i="22"/>
  <c r="F188" i="22" s="1"/>
  <c r="H188" i="22" s="1"/>
  <c r="J188" i="22" s="1"/>
  <c r="D192" i="22"/>
  <c r="E188" i="22"/>
  <c r="D193" i="22" l="1"/>
  <c r="K194" i="22"/>
  <c r="Z10" i="22" s="1"/>
  <c r="K5" i="6" s="1"/>
  <c r="M14" i="15" s="1"/>
  <c r="M8" i="15" s="1"/>
  <c r="E189" i="22"/>
  <c r="A190" i="22"/>
  <c r="B188" i="22"/>
  <c r="F189" i="22" s="1"/>
  <c r="H189" i="22" s="1"/>
  <c r="J189" i="22" s="1"/>
  <c r="B189" i="22" l="1"/>
  <c r="F190" i="22" s="1"/>
  <c r="H190" i="22" s="1"/>
  <c r="J190" i="22" s="1"/>
  <c r="A191" i="22"/>
  <c r="E190" i="22"/>
  <c r="D194" i="22"/>
  <c r="G10" i="11" s="1"/>
  <c r="F10" i="11" s="1"/>
  <c r="N23" i="29" l="1"/>
  <c r="E191" i="22"/>
  <c r="A192" i="22"/>
  <c r="B190" i="22"/>
  <c r="F191" i="22" s="1"/>
  <c r="H191" i="22" s="1"/>
  <c r="J191" i="22" s="1"/>
  <c r="K195" i="22"/>
  <c r="D195" i="22"/>
  <c r="A193" i="22" l="1"/>
  <c r="B191" i="22"/>
  <c r="F192" i="22" s="1"/>
  <c r="AA10" i="22"/>
  <c r="K199" i="22"/>
  <c r="E192" i="22"/>
  <c r="AC10" i="22" l="1"/>
  <c r="L5" i="6"/>
  <c r="N14" i="15" s="1"/>
  <c r="N8" i="15" s="1"/>
  <c r="E193" i="22"/>
  <c r="L194" i="22"/>
  <c r="Z11" i="22" s="1"/>
  <c r="K6" i="6" s="1"/>
  <c r="K24" i="17" s="1"/>
  <c r="H192" i="22"/>
  <c r="J192" i="22" s="1"/>
  <c r="A194" i="22"/>
  <c r="B193" i="22" s="1"/>
  <c r="B192" i="22"/>
  <c r="F193" i="22" s="1"/>
  <c r="H193" i="22" s="1"/>
  <c r="J193" i="22" s="1"/>
  <c r="T44" i="6" l="1"/>
  <c r="R53" i="2"/>
  <c r="E194" i="22"/>
  <c r="F194" i="22"/>
  <c r="M15" i="15" l="1"/>
  <c r="M9" i="15" s="1"/>
  <c r="M7" i="15" s="1"/>
  <c r="L16" i="2"/>
  <c r="O23" i="29"/>
  <c r="N24" i="29"/>
  <c r="L195" i="22"/>
  <c r="F195" i="22"/>
  <c r="H194" i="22"/>
  <c r="O14" i="15" l="1"/>
  <c r="O8" i="15" s="1"/>
  <c r="N22" i="29"/>
  <c r="N26" i="29" s="1"/>
  <c r="J194" i="22"/>
  <c r="H195" i="22"/>
  <c r="J195" i="22" s="1"/>
  <c r="AA11" i="22"/>
  <c r="L199" i="22"/>
  <c r="AC11" i="22" l="1"/>
  <c r="L6" i="6"/>
  <c r="L24" i="17" s="1"/>
  <c r="N15" i="15" l="1"/>
  <c r="N9" i="15" s="1"/>
  <c r="N7" i="15" s="1"/>
  <c r="T37" i="6"/>
  <c r="T45" i="6"/>
  <c r="L4" i="6"/>
  <c r="M16" i="2" l="1"/>
  <c r="P15" i="15"/>
  <c r="P9" i="15" s="1"/>
  <c r="P7" i="15" s="1"/>
  <c r="O15" i="15"/>
  <c r="O9" i="15" s="1"/>
  <c r="O7" i="15" s="1"/>
  <c r="O24" i="29"/>
  <c r="Q15" i="15"/>
  <c r="Q9" i="15" s="1"/>
  <c r="Q7" i="15" s="1"/>
  <c r="R54" i="2"/>
  <c r="R52" i="2" s="1"/>
  <c r="R12" i="2"/>
  <c r="H4" i="6"/>
  <c r="J4" i="6"/>
  <c r="K4" i="6"/>
  <c r="O22" i="29" l="1"/>
  <c r="O26" i="29" s="1"/>
  <c r="S24" i="29"/>
  <c r="P22" i="29"/>
  <c r="L37" i="6"/>
  <c r="H37" i="6"/>
  <c r="K37" i="6"/>
  <c r="J37" i="6"/>
  <c r="P26" i="29" l="1"/>
  <c r="S22" i="29"/>
  <c r="Q13" i="15"/>
  <c r="B26" i="20"/>
  <c r="G19" i="17" l="1"/>
  <c r="H19" i="17" s="1"/>
  <c r="I19" i="17" s="1"/>
  <c r="J19" i="17" s="1"/>
  <c r="K19" i="17" s="1"/>
  <c r="L19" i="17" s="1"/>
  <c r="M19" i="17" s="1"/>
  <c r="N19" i="17" s="1"/>
  <c r="O19" i="17" s="1"/>
  <c r="P19" i="17" s="1"/>
  <c r="Q19" i="17" s="1"/>
  <c r="R19" i="17" s="1"/>
  <c r="G18" i="17"/>
  <c r="H18" i="17" s="1"/>
  <c r="I18" i="17" s="1"/>
  <c r="J18" i="17" s="1"/>
  <c r="K18" i="17" s="1"/>
  <c r="L18" i="17" s="1"/>
  <c r="M18" i="17" s="1"/>
  <c r="N18" i="17" s="1"/>
  <c r="O18" i="17" s="1"/>
  <c r="P18" i="17" s="1"/>
  <c r="Q18" i="17" s="1"/>
  <c r="R18" i="17" s="1"/>
  <c r="M54" i="2"/>
  <c r="L54" i="2"/>
  <c r="K54" i="2"/>
  <c r="J54" i="2"/>
  <c r="I54" i="2"/>
  <c r="H54" i="2"/>
  <c r="D50" i="2"/>
  <c r="M53" i="2"/>
  <c r="L53" i="2"/>
  <c r="K53" i="2"/>
  <c r="J53" i="2"/>
  <c r="I53" i="2"/>
  <c r="H53" i="2"/>
  <c r="D49" i="2"/>
  <c r="D48" i="2" s="1"/>
  <c r="G48" i="2"/>
  <c r="F48" i="2"/>
  <c r="E48" i="2"/>
  <c r="D34" i="2"/>
  <c r="D33" i="2"/>
  <c r="D32" i="2" s="1"/>
  <c r="M32" i="2"/>
  <c r="L32" i="2"/>
  <c r="K32" i="2"/>
  <c r="J32" i="2"/>
  <c r="I32" i="2"/>
  <c r="H32" i="2"/>
  <c r="G32" i="2"/>
  <c r="F32" i="2"/>
  <c r="E32" i="2"/>
  <c r="D30" i="2"/>
  <c r="D26" i="2"/>
  <c r="D25" i="2"/>
  <c r="H24" i="2"/>
  <c r="G24" i="2"/>
  <c r="F24" i="2"/>
  <c r="J22" i="2"/>
  <c r="D22" i="2"/>
  <c r="J21" i="2"/>
  <c r="I21" i="2"/>
  <c r="I20" i="2" s="1"/>
  <c r="H21" i="2"/>
  <c r="H20" i="2" s="1"/>
  <c r="G21" i="2"/>
  <c r="G20" i="2" s="1"/>
  <c r="F21" i="2"/>
  <c r="F20" i="2" s="1"/>
  <c r="D21" i="2"/>
  <c r="G11" i="2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D17" i="2"/>
  <c r="F3" i="6"/>
  <c r="G3" i="6" s="1"/>
  <c r="H3" i="6" s="1"/>
  <c r="I3" i="6" s="1"/>
  <c r="J3" i="6" s="1"/>
  <c r="K3" i="6" s="1"/>
  <c r="L3" i="6" s="1"/>
  <c r="M3" i="6" s="1"/>
  <c r="N3" i="6" s="1"/>
  <c r="O3" i="6" s="1"/>
  <c r="P3" i="6" s="1"/>
  <c r="C22" i="5"/>
  <c r="C21" i="5" s="1"/>
  <c r="E21" i="5"/>
  <c r="D21" i="5"/>
  <c r="G19" i="5"/>
  <c r="G20" i="5" s="1"/>
  <c r="F19" i="5"/>
  <c r="F20" i="5" s="1"/>
  <c r="I9" i="5"/>
  <c r="H5" i="15"/>
  <c r="I5" i="15" s="1"/>
  <c r="J5" i="15" s="1"/>
  <c r="K5" i="15" s="1"/>
  <c r="L5" i="15" s="1"/>
  <c r="M5" i="15" s="1"/>
  <c r="N5" i="15" s="1"/>
  <c r="O5" i="15" s="1"/>
  <c r="P5" i="15" s="1"/>
  <c r="Q5" i="15" s="1"/>
  <c r="R5" i="15" s="1"/>
  <c r="S5" i="15" s="1"/>
  <c r="D24" i="20"/>
  <c r="G21" i="20"/>
  <c r="H19" i="11"/>
  <c r="J17" i="11"/>
  <c r="J22" i="11" s="1"/>
  <c r="H17" i="11"/>
  <c r="H22" i="11" s="1"/>
  <c r="C22" i="11"/>
  <c r="N53" i="2" l="1"/>
  <c r="Q54" i="2"/>
  <c r="P53" i="2"/>
  <c r="O54" i="2"/>
  <c r="Q48" i="2"/>
  <c r="I48" i="2"/>
  <c r="Q53" i="2"/>
  <c r="N54" i="2"/>
  <c r="N48" i="2"/>
  <c r="P54" i="2"/>
  <c r="M48" i="2"/>
  <c r="J48" i="2"/>
  <c r="O48" i="2"/>
  <c r="D24" i="2"/>
  <c r="P48" i="2"/>
  <c r="D20" i="2"/>
  <c r="K48" i="2"/>
  <c r="O53" i="2"/>
  <c r="H48" i="2"/>
  <c r="L48" i="2"/>
  <c r="J20" i="2"/>
  <c r="O32" i="2"/>
  <c r="N32" i="2"/>
  <c r="P32" i="2"/>
  <c r="Q32" i="2"/>
  <c r="H16" i="2"/>
  <c r="C25" i="5"/>
  <c r="J16" i="2"/>
  <c r="P12" i="2"/>
  <c r="Q12" i="2"/>
  <c r="E25" i="5"/>
  <c r="D25" i="5"/>
  <c r="D21" i="17"/>
  <c r="G24" i="20"/>
  <c r="L33" i="20"/>
  <c r="M31" i="11"/>
  <c r="D53" i="2"/>
  <c r="D55" i="2"/>
  <c r="G18" i="15" l="1"/>
  <c r="H18" i="15" s="1"/>
  <c r="E21" i="17"/>
  <c r="C24" i="20"/>
  <c r="D14" i="2"/>
  <c r="M33" i="20"/>
  <c r="L32" i="20" s="1"/>
  <c r="K32" i="20" s="1"/>
  <c r="L35" i="20" s="1"/>
  <c r="E24" i="20"/>
  <c r="M12" i="2"/>
  <c r="O12" i="2"/>
  <c r="N12" i="2"/>
  <c r="D13" i="2"/>
  <c r="H24" i="20"/>
  <c r="I18" i="15" l="1"/>
  <c r="H20" i="15"/>
  <c r="F26" i="17"/>
  <c r="I24" i="20"/>
  <c r="I17" i="11"/>
  <c r="I22" i="11" s="1"/>
  <c r="F24" i="20"/>
  <c r="D12" i="2"/>
  <c r="G16" i="2"/>
  <c r="F16" i="2"/>
  <c r="D18" i="2"/>
  <c r="D16" i="2" s="1"/>
  <c r="F4" i="6"/>
  <c r="E4" i="6"/>
  <c r="G4" i="6"/>
  <c r="J18" i="15" l="1"/>
  <c r="I20" i="15"/>
  <c r="G20" i="17"/>
  <c r="H20" i="17" s="1"/>
  <c r="I20" i="17" s="1"/>
  <c r="J20" i="17" s="1"/>
  <c r="K20" i="17" s="1"/>
  <c r="L20" i="17" s="1"/>
  <c r="M20" i="17" s="1"/>
  <c r="N20" i="17" s="1"/>
  <c r="O20" i="17" s="1"/>
  <c r="P20" i="17" s="1"/>
  <c r="N33" i="20"/>
  <c r="L31" i="20" s="1"/>
  <c r="K31" i="20" s="1"/>
  <c r="M35" i="20" s="1"/>
  <c r="E16" i="2"/>
  <c r="I4" i="6"/>
  <c r="T43" i="6" s="1"/>
  <c r="M28" i="2"/>
  <c r="M52" i="2"/>
  <c r="Q28" i="2"/>
  <c r="Q52" i="2"/>
  <c r="J28" i="2"/>
  <c r="L22" i="17"/>
  <c r="G37" i="6"/>
  <c r="E37" i="6"/>
  <c r="L28" i="2"/>
  <c r="H28" i="2"/>
  <c r="O52" i="2"/>
  <c r="O28" i="2"/>
  <c r="K28" i="2"/>
  <c r="F28" i="2"/>
  <c r="I28" i="2"/>
  <c r="P28" i="2"/>
  <c r="P52" i="2"/>
  <c r="N28" i="2"/>
  <c r="N52" i="2"/>
  <c r="P26" i="17" l="1"/>
  <c r="Q20" i="17"/>
  <c r="K18" i="15"/>
  <c r="J20" i="15"/>
  <c r="L26" i="17"/>
  <c r="O26" i="17"/>
  <c r="G21" i="17"/>
  <c r="H21" i="17" s="1"/>
  <c r="I21" i="17" s="1"/>
  <c r="J21" i="17" s="1"/>
  <c r="K21" i="17" s="1"/>
  <c r="L21" i="17" s="1"/>
  <c r="M21" i="17" s="1"/>
  <c r="N21" i="17" s="1"/>
  <c r="O21" i="17" s="1"/>
  <c r="P21" i="17" s="1"/>
  <c r="Q21" i="17" s="1"/>
  <c r="R21" i="17" s="1"/>
  <c r="G28" i="2"/>
  <c r="M22" i="17"/>
  <c r="M26" i="17" s="1"/>
  <c r="I37" i="6"/>
  <c r="N22" i="17"/>
  <c r="N26" i="17" s="1"/>
  <c r="E28" i="2"/>
  <c r="D54" i="2"/>
  <c r="D52" i="2" s="1"/>
  <c r="R20" i="17" l="1"/>
  <c r="R26" i="17" s="1"/>
  <c r="Q26" i="17"/>
  <c r="L18" i="15"/>
  <c r="K20" i="15"/>
  <c r="P13" i="15"/>
  <c r="E52" i="2"/>
  <c r="E12" i="2"/>
  <c r="O13" i="15"/>
  <c r="D29" i="2"/>
  <c r="D28" i="2" s="1"/>
  <c r="M13" i="15"/>
  <c r="N13" i="15"/>
  <c r="L13" i="15"/>
  <c r="M18" i="15" l="1"/>
  <c r="L20" i="15"/>
  <c r="F52" i="2"/>
  <c r="F12" i="2"/>
  <c r="N18" i="15" l="1"/>
  <c r="M20" i="15"/>
  <c r="G12" i="2"/>
  <c r="G52" i="2"/>
  <c r="O18" i="15" l="1"/>
  <c r="N20" i="15"/>
  <c r="H12" i="2"/>
  <c r="H52" i="2"/>
  <c r="P18" i="15" l="1"/>
  <c r="O20" i="15"/>
  <c r="I52" i="2"/>
  <c r="I12" i="2"/>
  <c r="P20" i="15" l="1"/>
  <c r="Q18" i="15"/>
  <c r="G7" i="15"/>
  <c r="G20" i="15" s="1"/>
  <c r="J52" i="2"/>
  <c r="J12" i="2"/>
  <c r="R18" i="15" l="1"/>
  <c r="Q20" i="15"/>
  <c r="G13" i="15"/>
  <c r="I22" i="17"/>
  <c r="I26" i="17" s="1"/>
  <c r="K12" i="2"/>
  <c r="K52" i="2"/>
  <c r="S18" i="15" l="1"/>
  <c r="S20" i="15" s="1"/>
  <c r="R20" i="15"/>
  <c r="H13" i="15"/>
  <c r="G22" i="17"/>
  <c r="I13" i="15"/>
  <c r="J22" i="17"/>
  <c r="J26" i="17" s="1"/>
  <c r="H22" i="17"/>
  <c r="H26" i="17" s="1"/>
  <c r="K22" i="17"/>
  <c r="K26" i="17" s="1"/>
  <c r="L12" i="2"/>
  <c r="L52" i="2"/>
  <c r="S22" i="17" l="1"/>
  <c r="G26" i="17"/>
  <c r="J13" i="15"/>
  <c r="K13" i="15" l="1"/>
  <c r="F15" i="11"/>
  <c r="F17" i="11" s="1"/>
  <c r="G15" i="11"/>
  <c r="G17" i="11" s="1"/>
  <c r="G22" i="11" s="1"/>
  <c r="N31" i="11" l="1"/>
  <c r="M30" i="11" s="1"/>
  <c r="L30" i="11" s="1"/>
  <c r="M33" i="11" s="1"/>
  <c r="F22" i="11"/>
  <c r="O31" i="11"/>
  <c r="M29" i="11" s="1"/>
  <c r="L29" i="11" s="1"/>
  <c r="N3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SOLD PT CALCULAT DOBANDA; SOLD CONTABIL SE SCADE SI RATA RRAMBURSATA</t>
        </r>
      </text>
    </comment>
  </commentList>
</comments>
</file>

<file path=xl/sharedStrings.xml><?xml version="1.0" encoding="utf-8"?>
<sst xmlns="http://schemas.openxmlformats.org/spreadsheetml/2006/main" count="4772" uniqueCount="483">
  <si>
    <t>Nr. Crt.</t>
  </si>
  <si>
    <t>Denumirea indicatorilor</t>
  </si>
  <si>
    <t>Buget local estimat pentru anul</t>
  </si>
  <si>
    <t>A</t>
  </si>
  <si>
    <t xml:space="preserve">Venituri proprii </t>
  </si>
  <si>
    <t>Limita de indatorare 30% din venituri proprii</t>
  </si>
  <si>
    <t>Serviciul anual al datoriei publice locale</t>
  </si>
  <si>
    <t>Rambursare</t>
  </si>
  <si>
    <t>Dobanzi</t>
  </si>
  <si>
    <t>Comisioane</t>
  </si>
  <si>
    <t>Gradul de indatorare - in % (serviciul anual al datoriei/ venituri proprii*100)</t>
  </si>
  <si>
    <t xml:space="preserve">Nr. Crt. </t>
  </si>
  <si>
    <t>Anul</t>
  </si>
  <si>
    <t>Dobanda</t>
  </si>
  <si>
    <t>Principal</t>
  </si>
  <si>
    <t>Primaria Eforie</t>
  </si>
  <si>
    <t xml:space="preserve">                              GRADUL DE INDATORARE </t>
  </si>
  <si>
    <t xml:space="preserve"> RON</t>
  </si>
  <si>
    <t>mii RON</t>
  </si>
  <si>
    <t>Total venituri</t>
  </si>
  <si>
    <t>11.02-Sume defalcate din TVA</t>
  </si>
  <si>
    <t>37.02.01-Donatii si sponsorizari</t>
  </si>
  <si>
    <t>39.02-Venituri din valorificare altor bunuri</t>
  </si>
  <si>
    <t>42.02-Subv. de la bugetul de stat</t>
  </si>
  <si>
    <t>43.02-Subv. de la alte administrii</t>
  </si>
  <si>
    <t>45.02-Subv. primite de la UE in cont</t>
  </si>
  <si>
    <t>Comision</t>
  </si>
  <si>
    <t>Total Serviciul Datoriei</t>
  </si>
  <si>
    <t>Marja</t>
  </si>
  <si>
    <t>Sold credit</t>
  </si>
  <si>
    <t>1</t>
  </si>
  <si>
    <t>dobanda</t>
  </si>
  <si>
    <t>Total</t>
  </si>
  <si>
    <t>principal</t>
  </si>
  <si>
    <t>comisioane</t>
  </si>
  <si>
    <t>Buget local aprobat nov 2012</t>
  </si>
  <si>
    <t>1.3</t>
  </si>
  <si>
    <t>1.4</t>
  </si>
  <si>
    <t>Serviciul datoriei publice locale pentru credit Eximbank Romania 422.043 ron (a1.3+b1.3+c1.3)</t>
  </si>
  <si>
    <t>a1.3) Rambursarea imprumutului</t>
  </si>
  <si>
    <t xml:space="preserve">b1.3) Dobanzi </t>
  </si>
  <si>
    <t>c1.3) Comisioane</t>
  </si>
  <si>
    <t>Serviciul datoriei publice locale pentru credit Eximbank Romania 1.799.642 ron (a1.4+b1.4+c1.4)</t>
  </si>
  <si>
    <t>a1.4) Rambursarea imprumutului</t>
  </si>
  <si>
    <t xml:space="preserve">b1.4) Dobanzi </t>
  </si>
  <si>
    <t>c1.4) Comisioane</t>
  </si>
  <si>
    <t>Rambursare*)</t>
  </si>
  <si>
    <t>JUDETUL CONSTANTA</t>
  </si>
  <si>
    <t>UNITATEA ADMINISTRATIV TERITORIALA</t>
  </si>
  <si>
    <t>A ORASULUI EFORIE</t>
  </si>
  <si>
    <t>Serviciul anual al datoriei publice locale existente (rd.4+rd.5+rd.6)</t>
  </si>
  <si>
    <t>II</t>
  </si>
  <si>
    <t>Serviciul anual al datoriei publice locale (</t>
  </si>
  <si>
    <t>Limita de indatorare (30% din venituri proprii)</t>
  </si>
  <si>
    <t>Nr. crt</t>
  </si>
  <si>
    <t>Credite</t>
  </si>
  <si>
    <t>Valoare imprumut</t>
  </si>
  <si>
    <t>Moneda</t>
  </si>
  <si>
    <t>Rambursat la data raportarii</t>
  </si>
  <si>
    <t>Sold la data raportarii</t>
  </si>
  <si>
    <t>Total credite</t>
  </si>
  <si>
    <t>Garantii</t>
  </si>
  <si>
    <t>ron</t>
  </si>
  <si>
    <t>Total (ron)</t>
  </si>
  <si>
    <t>Total serviciu datoriei (ron)</t>
  </si>
  <si>
    <t>Serviciul Datoriei Publice Locale</t>
  </si>
  <si>
    <t>Buget local 2014 (estimat)</t>
  </si>
  <si>
    <t>mii Ron</t>
  </si>
  <si>
    <t>Grad indatorare prezent</t>
  </si>
  <si>
    <t>Total serviciu datoriei</t>
  </si>
  <si>
    <t>Primaria Orasului Eforie</t>
  </si>
  <si>
    <t>Executie buget local la 31.12.2016</t>
  </si>
  <si>
    <t>Curs schimb valutar eur/ron</t>
  </si>
  <si>
    <t>Grafic de rambursare estimativ</t>
  </si>
  <si>
    <t>Valoare sold de refinantat</t>
  </si>
  <si>
    <t>Data</t>
  </si>
  <si>
    <t>Utilizare credit</t>
  </si>
  <si>
    <t>Rata principal</t>
  </si>
  <si>
    <t>7=3+5+6</t>
  </si>
  <si>
    <t>Robor 3 luni valabil la data de 14.03.2017</t>
  </si>
  <si>
    <t>Credit Eximbank  nr. 4/31.03.2017</t>
  </si>
  <si>
    <t>Credit Eximbank</t>
  </si>
  <si>
    <t>Grafic de tragere si rambursare estimativ</t>
  </si>
  <si>
    <t>Valoare credit investitii</t>
  </si>
  <si>
    <t>Comision acordare</t>
  </si>
  <si>
    <t xml:space="preserve">Nota: Prezentul grafic de tragere si rambursare este estimativ, acesta putandu-se modifica in functie de </t>
  </si>
  <si>
    <t>date si valorile tragerilor, precum si evolutia Robor-ului 3M</t>
  </si>
  <si>
    <t>com.</t>
  </si>
  <si>
    <t>Credit Eximbank  nr. 85/22.12.2017*</t>
  </si>
  <si>
    <t>*Nota: dobanda este calculata pe baza estimarilor tragerilor din 2018</t>
  </si>
  <si>
    <t>Executie buget local la 31.12.2017</t>
  </si>
  <si>
    <t>Credit nou eximbank</t>
  </si>
  <si>
    <t>Total Serviciul Datoriei total</t>
  </si>
  <si>
    <t>`</t>
  </si>
  <si>
    <t>Executie buget local la 31.12.2018</t>
  </si>
  <si>
    <t>dobanda+com</t>
  </si>
  <si>
    <t>Robor 3M valabil la 01.03.2019</t>
  </si>
  <si>
    <t>Robor 3 luni valabil la data de 21.05.2019</t>
  </si>
  <si>
    <t>Serviciul datoriei publice locale pentru imprumuturile si garantiile existente (a1+b1+c1)</t>
  </si>
  <si>
    <t>Serviciul datoriei publice locale pentru finantarea rambursabila: finantator Eximbank/valoare contract 24.596.128,54 (a1.1+b1.1+c1.1)</t>
  </si>
  <si>
    <t>a1.1) Rambursarea finantarii</t>
  </si>
  <si>
    <t xml:space="preserve">b1.1) Dobanzi </t>
  </si>
  <si>
    <t>c1.1) Comisioane</t>
  </si>
  <si>
    <t>1.1</t>
  </si>
  <si>
    <t>1.2</t>
  </si>
  <si>
    <t>a1.2) Rambursarea finantarii</t>
  </si>
  <si>
    <t xml:space="preserve">b1.2) Dobanzi </t>
  </si>
  <si>
    <t>c1.2) Comisioane</t>
  </si>
  <si>
    <t>Serviciul datoriei publice locale pentru finantarea rambursabila: finantator Eximbank Romaniia/valoare contract 24 mil. ron (a1.2+b1.2+c1.2)</t>
  </si>
  <si>
    <t>a1.3) Rambursarea finantarii</t>
  </si>
  <si>
    <t>2</t>
  </si>
  <si>
    <t>a2) Rambursarea imprumutului</t>
  </si>
  <si>
    <t xml:space="preserve">b2) Dobanzi </t>
  </si>
  <si>
    <t>c2) Comisioane</t>
  </si>
  <si>
    <t>Serviciul TOTAL al datoriei publice existente (a3+b3+c3)</t>
  </si>
  <si>
    <t>a) Rambursarea finantarii rambursabile (a1+a2)</t>
  </si>
  <si>
    <t>b) Dobanzi (b1+b2)</t>
  </si>
  <si>
    <t>c) Comisioane (c1+c2)</t>
  </si>
  <si>
    <t>Anexa 1.4</t>
  </si>
  <si>
    <t>Robert-Nicolae Serban</t>
  </si>
  <si>
    <t>Primar</t>
  </si>
  <si>
    <t>Director economic</t>
  </si>
  <si>
    <t xml:space="preserve">CALCULUL GRADULUI DE INDATORARE </t>
  </si>
  <si>
    <t>Anexa 1.3</t>
  </si>
  <si>
    <t>Serviciul Datoriei 2020 - 2032</t>
  </si>
  <si>
    <t>Credit Eximbank nr 127/25.08.2020</t>
  </si>
  <si>
    <t>Capacitatea maxima de indatorare - 30% din media veniturilor 2018-2020</t>
  </si>
  <si>
    <t>Robor 3M valabil la 06.10.2021</t>
  </si>
  <si>
    <t>a bugetului local al Orasului Eforie in urma contractarii de finantari rambursabile pe baza datelor din bugetul local</t>
  </si>
  <si>
    <t>Robor 3M valabil la 03.06.22</t>
  </si>
  <si>
    <t>Robor 3 luni valabil la data de 03.06.2022</t>
  </si>
  <si>
    <t>Valoarea</t>
  </si>
  <si>
    <t>Robor 3M</t>
  </si>
  <si>
    <t>Trageri</t>
  </si>
  <si>
    <t>Credit 6.9 mio ron</t>
  </si>
  <si>
    <t>dobanda toate creditele</t>
  </si>
  <si>
    <t>credit nou fd ue 7.5 mil ron</t>
  </si>
  <si>
    <t>Credit Eximbank nr 120/19.08.2022</t>
  </si>
  <si>
    <t>Sume de rambursat 2024-2026</t>
  </si>
  <si>
    <t>c</t>
  </si>
  <si>
    <t>Utilizat la 31.10.2023</t>
  </si>
  <si>
    <t>Rambursat la 31.10.2023</t>
  </si>
  <si>
    <t>Sold nerambursat la 31.10.2023</t>
  </si>
  <si>
    <t>Sume de rambursat nov - dec 2023</t>
  </si>
  <si>
    <t>Executie buget local la 31.12.2023</t>
  </si>
  <si>
    <t>a1.4) Rambursarea finantarii</t>
  </si>
  <si>
    <t>Serviciul datoriei publice locale pentru finantarea rambursabila: finantator Eximbank valoare contract 6.98 mil. ron (a1.3+b1.3+c1.3)</t>
  </si>
  <si>
    <t>Executie buget local la 31.12.2024</t>
  </si>
  <si>
    <t>UNICREDIT 18 MIL RON</t>
  </si>
  <si>
    <t>credit trezo 10 mil ron</t>
  </si>
  <si>
    <t>credit NOU 2026 10 mil ron</t>
  </si>
  <si>
    <t>Executie buget local la 31.12.2025</t>
  </si>
  <si>
    <t/>
  </si>
  <si>
    <t xml:space="preserve">MINISTERUL FINANTELOR </t>
  </si>
  <si>
    <t>RAPORT DE EXECUTIE BUGETARA COFOG3</t>
  </si>
  <si>
    <t>AGREGAT LA NIVEL DE ORDONATOR PRINCIPAL DE CREDITE</t>
  </si>
  <si>
    <t>LA DATA: 31-DEC-25</t>
  </si>
  <si>
    <t>Sector bugetar: 02 - Bugetul local   (administratie locala)</t>
  </si>
  <si>
    <t>Cod Fiscal IP:   4617794 Denumire IP : ORAS EFORIE</t>
  </si>
  <si>
    <t xml:space="preserve">Total programe bugetare </t>
  </si>
  <si>
    <t xml:space="preserve"> </t>
  </si>
  <si>
    <t>Tip Indicator</t>
  </si>
  <si>
    <t>Sursa finantare</t>
  </si>
  <si>
    <t>Clasificatie Functionala</t>
  </si>
  <si>
    <t>Clasificatie Functionala Descriere</t>
  </si>
  <si>
    <t>Clasificatie Economica</t>
  </si>
  <si>
    <t>Clasificatie Economica Descriere</t>
  </si>
  <si>
    <t>Sectiune</t>
  </si>
  <si>
    <t>Executie Cumulat</t>
  </si>
  <si>
    <t xml:space="preserve"> Venit</t>
  </si>
  <si>
    <t>A-Integral de la buget</t>
  </si>
  <si>
    <t>031800</t>
  </si>
  <si>
    <t>Impozitul pe veniturile din transferul proprietatilor imobiliare din patrimoniul personal</t>
  </si>
  <si>
    <t>F - FUNCTIONARE</t>
  </si>
  <si>
    <t>040100</t>
  </si>
  <si>
    <t>Cote defalcate din impozitul pe venit(se scad)</t>
  </si>
  <si>
    <t>040500</t>
  </si>
  <si>
    <t>Sume repartizate din Fondul la dispozitia Consiliului Judetean</t>
  </si>
  <si>
    <t>070101</t>
  </si>
  <si>
    <t>Impozit pe cladiri de la persoane fizice</t>
  </si>
  <si>
    <t>070102</t>
  </si>
  <si>
    <t>Impozit si taxa pe cladiri de la persoane juridice</t>
  </si>
  <si>
    <t>070201</t>
  </si>
  <si>
    <t>Impozit pe terenuri de la persoane fizice</t>
  </si>
  <si>
    <t>070202</t>
  </si>
  <si>
    <t>Impozit si taxa pe teren de la persoane juridice</t>
  </si>
  <si>
    <t>070300</t>
  </si>
  <si>
    <t xml:space="preserve">Taxe judiciare de timbru si alte taxe de timbru  </t>
  </si>
  <si>
    <t>075000</t>
  </si>
  <si>
    <t xml:space="preserve">Alte impozite si taxe  pe proprietate </t>
  </si>
  <si>
    <t>110200</t>
  </si>
  <si>
    <t>Sume defalcate din taxa pe valoarea adaugata pentru finantarea cheltuielilor descentralizate la nivelul comunelor, oraselor, municipiilor, sectoarelor si Municipiului Bucuresti (se scad)</t>
  </si>
  <si>
    <t>110600</t>
  </si>
  <si>
    <t>Sume defalcate din taxa pe valoarea adaugata  pentru  echilibrarea bugetelor locale (se scad)</t>
  </si>
  <si>
    <t>120700</t>
  </si>
  <si>
    <t>Taxe hoteliere</t>
  </si>
  <si>
    <t>150100</t>
  </si>
  <si>
    <t>Impozit pe spectacole</t>
  </si>
  <si>
    <t>160201</t>
  </si>
  <si>
    <t>Impozit pe mijloacele de transport detinute de persoane fizice</t>
  </si>
  <si>
    <t>160202</t>
  </si>
  <si>
    <t>Impozit pe mijloacele de transport detinute de persoane juridice</t>
  </si>
  <si>
    <t>160300</t>
  </si>
  <si>
    <t>Taxe si tarife pentru eliberarea de licente si autorizatii de functionare</t>
  </si>
  <si>
    <t>165000</t>
  </si>
  <si>
    <t>Alte taxe pe utilizarea bunurilor, autorizarea utilizarii bunurilor sau pe desfasurare de activitati</t>
  </si>
  <si>
    <t>185000</t>
  </si>
  <si>
    <t>Alte impozite si taxe</t>
  </si>
  <si>
    <t>300530</t>
  </si>
  <si>
    <t>Alte venituri din concesiuni si inchirieri de catre institutiile publice</t>
  </si>
  <si>
    <t>330800</t>
  </si>
  <si>
    <t>Venituri din prestari de servicii</t>
  </si>
  <si>
    <t>331000</t>
  </si>
  <si>
    <t>Contributia  parintilor sau sustinatorilor legali pentru intretinerea copiilor in crese</t>
  </si>
  <si>
    <t>332800</t>
  </si>
  <si>
    <t>Venituri din recuperarea cheltuielilor de judecata, imputatii si despagubiri</t>
  </si>
  <si>
    <t>350102</t>
  </si>
  <si>
    <t>Venituri din amenzi si alte sanctiuni aplicate de catre alte institutii de specialitate</t>
  </si>
  <si>
    <t>350200</t>
  </si>
  <si>
    <t>Penalitati pentru nedepunerea sau depunerea cu intirziere declaratiei de impozite si taxe</t>
  </si>
  <si>
    <t>360600</t>
  </si>
  <si>
    <t>Taxe speciale</t>
  </si>
  <si>
    <t>365000</t>
  </si>
  <si>
    <t>Alte venituri</t>
  </si>
  <si>
    <t>390100</t>
  </si>
  <si>
    <t>Venituri din valorificarea unor bunuri ale institutiilor publice</t>
  </si>
  <si>
    <t>D - DEZVOLTARE</t>
  </si>
  <si>
    <t>390300</t>
  </si>
  <si>
    <t>Venituri din vanzarea locuintelor construite din fondurile statului</t>
  </si>
  <si>
    <t>390700</t>
  </si>
  <si>
    <t>Venituri din vanzarea unor bunuri apartinand domeniului privat al statului sau  al unitatilor administrativ-teritoriale</t>
  </si>
  <si>
    <t>423400</t>
  </si>
  <si>
    <t>Subventii pentru acordarea ajutorului pentru incalzirea locuintei si a suplimentului pentru energie alocate pentru consumul de combustibili solizi si/sau petrolieri</t>
  </si>
  <si>
    <t>426600</t>
  </si>
  <si>
    <t xml:space="preserve">Subventii din bugetul de stat alocate conform contractelor incheiate cu directiile de sanatate publica </t>
  </si>
  <si>
    <t>428700</t>
  </si>
  <si>
    <t>Subventii de la bugetul de stat catre bugetele locale pentru Programul national de investitii ?Anghel Saligny?</t>
  </si>
  <si>
    <t>429303</t>
  </si>
  <si>
    <t>Subventii de la bugetul de stat catre bugetele locale necesare sustinerii derularii proiectelor finantate din FEN postaderare, aferente perioadei de programare 2021-2027</t>
  </si>
  <si>
    <t>434901</t>
  </si>
  <si>
    <t>Fonduri europene nerambursabile</t>
  </si>
  <si>
    <t>434903</t>
  </si>
  <si>
    <t>Sume aferente TVA</t>
  </si>
  <si>
    <t>454802</t>
  </si>
  <si>
    <t>Sume primite in contul platilor efectuate in anii anteriori</t>
  </si>
  <si>
    <t>454803</t>
  </si>
  <si>
    <t>Prefinantare</t>
  </si>
  <si>
    <t>480103</t>
  </si>
  <si>
    <t>C-Credite interne</t>
  </si>
  <si>
    <t>410201</t>
  </si>
  <si>
    <t>Sume aferente creditelor interne</t>
  </si>
  <si>
    <t>410226</t>
  </si>
  <si>
    <t>Sume aferente imprumuturilor contractate, conform OUG nr.25/2025, pentru finantarea cheltuielilor aflate in sarcina unitatilor administrativ-teritoriale</t>
  </si>
  <si>
    <t>E-Activitati finantate integral din venituri proprii</t>
  </si>
  <si>
    <t>331400</t>
  </si>
  <si>
    <t>Contributia elevilor si studentilor pentru internate, camine si cantine</t>
  </si>
  <si>
    <t>G-Venituri proprii si subventii</t>
  </si>
  <si>
    <t>430900</t>
  </si>
  <si>
    <t>Subventii pentru institutii publice</t>
  </si>
  <si>
    <t xml:space="preserve"> TOTAL VENITURI:</t>
  </si>
  <si>
    <t xml:space="preserve"> Cheltuiala</t>
  </si>
  <si>
    <t>510103</t>
  </si>
  <si>
    <t>Autoritati executive</t>
  </si>
  <si>
    <t>100101</t>
  </si>
  <si>
    <t>Salarii de baza</t>
  </si>
  <si>
    <t>100106</t>
  </si>
  <si>
    <t>Alte sporuri</t>
  </si>
  <si>
    <t>100112</t>
  </si>
  <si>
    <t>Indemnizatii platite unor persoane din afara unitatii</t>
  </si>
  <si>
    <t>100117</t>
  </si>
  <si>
    <t>Indemnizatii de hrana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</si>
  <si>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</si>
  <si>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</si>
  <si>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</si>
  <si>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</si>
  <si>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</si>
  <si>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</si>
  <si>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</si>
  <si>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</si>
  <si>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</si>
  <si>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</si>
  <si>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</si>
  <si>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</si>
  <si>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</si>
  <si>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Carburanti, lubrifianti si combustibili alternativi</t>
  </si>
  <si>
    <t>200108</t>
  </si>
  <si>
    <t xml:space="preserve">Posta, telecomunicatii, radio, tv, internet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</si>
  <si>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</si>
  <si>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</si>
  <si>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</si>
  <si>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</si>
  <si>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</si>
  <si>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</si>
  <si>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</si>
  <si>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</si>
  <si>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201400</t>
  </si>
  <si>
    <t>Protectia muncii</t>
  </si>
  <si>
    <t>203001</t>
  </si>
  <si>
    <t>Reclama si publicitate</t>
  </si>
  <si>
    <t>203009</t>
  </si>
  <si>
    <t>Executarea silita a creantelor bugetare</t>
  </si>
  <si>
    <t>203030</t>
  </si>
  <si>
    <t>Alte cheltuieli cu bunuri si servicii</t>
  </si>
  <si>
    <t>594000</t>
  </si>
  <si>
    <t>Sume aferente persoanelor cu handicap neincadrate</t>
  </si>
  <si>
    <t>710130</t>
  </si>
  <si>
    <t xml:space="preserve">Alte active fixe 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</si>
  <si>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</si>
  <si>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</si>
  <si>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</si>
  <si>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</si>
  <si>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>545000</t>
  </si>
  <si>
    <t xml:space="preserve">Alte servicii publice generale </t>
  </si>
  <si>
    <t>550000</t>
  </si>
  <si>
    <t>Tranzactii privind datoria publica si imprumuturi</t>
  </si>
  <si>
    <t>300101</t>
  </si>
  <si>
    <t>Dobanzi aferente datoriei publice interne directe</t>
  </si>
  <si>
    <t>610304</t>
  </si>
  <si>
    <t xml:space="preserve">Politie locala </t>
  </si>
  <si>
    <t>100202</t>
  </si>
  <si>
    <t>Norme de hrana</t>
  </si>
  <si>
    <t>200501</t>
  </si>
  <si>
    <t>Uniforme si echipament</t>
  </si>
  <si>
    <t>610500</t>
  </si>
  <si>
    <t xml:space="preserve">Protectie civila si protectie contra incendiilor </t>
  </si>
  <si>
    <t>650301</t>
  </si>
  <si>
    <t>Invatamant prescolar</t>
  </si>
  <si>
    <t>100115</t>
  </si>
  <si>
    <t>Alocatii pentru transportul la si de la locul de munca</t>
  </si>
  <si>
    <t>200109</t>
  </si>
  <si>
    <t xml:space="preserve">Materiale si prestari de servicii cu caracter functional </t>
  </si>
  <si>
    <t>650302</t>
  </si>
  <si>
    <t>Invatamant primar</t>
  </si>
  <si>
    <t>650401</t>
  </si>
  <si>
    <t>Invatamant secundar inferior</t>
  </si>
  <si>
    <t>201300</t>
  </si>
  <si>
    <t>Pregatire profesionala</t>
  </si>
  <si>
    <t>570201</t>
  </si>
  <si>
    <t xml:space="preserve"> Ajutoare sociale in numerar</t>
  </si>
  <si>
    <t>650402</t>
  </si>
  <si>
    <t>Invatamant secundar superior</t>
  </si>
  <si>
    <t>710103</t>
  </si>
  <si>
    <t>Mobilier, aparatura birotica si alte active corporale</t>
  </si>
  <si>
    <t>651300</t>
  </si>
  <si>
    <t>Invatamant anteprescolar</t>
  </si>
  <si>
    <t>200301</t>
  </si>
  <si>
    <t>Hrana pentru oameni</t>
  </si>
  <si>
    <t>655000</t>
  </si>
  <si>
    <t>Alte cheltuieli in domeniul invatamantului</t>
  </si>
  <si>
    <t>660800</t>
  </si>
  <si>
    <t>Servicii de sanatate publica</t>
  </si>
  <si>
    <t>100105</t>
  </si>
  <si>
    <t>Sporuri pentru conditii de munca</t>
  </si>
  <si>
    <t>200401</t>
  </si>
  <si>
    <t xml:space="preserve">Medicamente </t>
  </si>
  <si>
    <t>670306</t>
  </si>
  <si>
    <t>Case de cultura</t>
  </si>
  <si>
    <t>510101</t>
  </si>
  <si>
    <t>Transferuri catre institutii publice</t>
  </si>
  <si>
    <t>670501</t>
  </si>
  <si>
    <t>Sport</t>
  </si>
  <si>
    <t>670503</t>
  </si>
  <si>
    <t>Intretinere gradini publice, parcuri, zone verzi, baze sportive si de agrement</t>
  </si>
  <si>
    <t>675000</t>
  </si>
  <si>
    <t>Alte servicii in domeniile culturii, recreerii si religiei</t>
  </si>
  <si>
    <t>680502</t>
  </si>
  <si>
    <t>Asistenta sociala  in  caz de invaliditate</t>
  </si>
  <si>
    <t>681501</t>
  </si>
  <si>
    <t>Ajutor social</t>
  </si>
  <si>
    <t>685050</t>
  </si>
  <si>
    <t>Alte cheltuieli in domeniul asigurarilor si asistentei sociale</t>
  </si>
  <si>
    <t>570202</t>
  </si>
  <si>
    <t xml:space="preserve"> Ajutoare sociale in natura</t>
  </si>
  <si>
    <t>700330</t>
  </si>
  <si>
    <t>Alte cheltuieli in domeniul locuintelor</t>
  </si>
  <si>
    <t>700600</t>
  </si>
  <si>
    <t>Iluminat public si electrificari</t>
  </si>
  <si>
    <t>705000</t>
  </si>
  <si>
    <t>Alte servicii in domeniile locuintelor, serviciilor si dezvoltarii comunale</t>
  </si>
  <si>
    <t>201200</t>
  </si>
  <si>
    <t>Consultanta si expertiza</t>
  </si>
  <si>
    <t>564801</t>
  </si>
  <si>
    <t>Finantare nationala</t>
  </si>
  <si>
    <t>564802</t>
  </si>
  <si>
    <t>Finantare externa nerambursabila</t>
  </si>
  <si>
    <t>564803</t>
  </si>
  <si>
    <t>Cheltuieli neeligibile</t>
  </si>
  <si>
    <t>591700</t>
  </si>
  <si>
    <t>Despagubiri civile</t>
  </si>
  <si>
    <t>594400</t>
  </si>
  <si>
    <t>Impozite, taxe si amenzi datorate bugetului general consolidat</t>
  </si>
  <si>
    <t>600100</t>
  </si>
  <si>
    <t>600300</t>
  </si>
  <si>
    <t>710101</t>
  </si>
  <si>
    <t>Constructii</t>
  </si>
  <si>
    <t>710102</t>
  </si>
  <si>
    <t xml:space="preserve">Masini, echipamente si mijloace de transport </t>
  </si>
  <si>
    <t>710300</t>
  </si>
  <si>
    <t>Reparatii capitale aferente activelor fixe</t>
  </si>
  <si>
    <t>810201</t>
  </si>
  <si>
    <t>Rambursari de credite interne garantate</t>
  </si>
  <si>
    <t>810400</t>
  </si>
  <si>
    <t>Rambursarea imprumuturilor contractate pentru Finantarea proiectelor cu finantare UE</t>
  </si>
  <si>
    <t>740501</t>
  </si>
  <si>
    <t>Salubritate</t>
  </si>
  <si>
    <t>740502</t>
  </si>
  <si>
    <t>Colectarea, tratarea si distrugerea deseurilor</t>
  </si>
  <si>
    <t>840303</t>
  </si>
  <si>
    <t xml:space="preserve">Strazi </t>
  </si>
  <si>
    <t>202300</t>
  </si>
  <si>
    <t xml:space="preserve">Prevenirea si combaterea inundatiilor si ingheturilor </t>
  </si>
  <si>
    <t>845000</t>
  </si>
  <si>
    <t>Alte cheltuieli in domeniul transporturilor</t>
  </si>
  <si>
    <t>651130</t>
  </si>
  <si>
    <t>Alte servicii auxiliare</t>
  </si>
  <si>
    <t xml:space="preserve"> TOTAL CHELTUIELI:</t>
  </si>
  <si>
    <t>FXB-EXB-901</t>
  </si>
  <si>
    <t>LA DATA: 31-DEC-23</t>
  </si>
  <si>
    <t>040400</t>
  </si>
  <si>
    <t>Sume alocate din cotele defalcate din impozitul pe venit pentru echilibrarea bugetelor locale</t>
  </si>
  <si>
    <t>055000</t>
  </si>
  <si>
    <t xml:space="preserve">Alte impozite pe venit, profit si cistiguri din capital </t>
  </si>
  <si>
    <t>340200</t>
  </si>
  <si>
    <t>Taxe extrajudiciare de timbru</t>
  </si>
  <si>
    <t>370100</t>
  </si>
  <si>
    <t>Donatii si sponsorizari</t>
  </si>
  <si>
    <t>370300</t>
  </si>
  <si>
    <t>Varsaminte din sectiunea de functionare pentru finantarea sectiunii de dezvoltare a bugetelui local</t>
  </si>
  <si>
    <t>370400</t>
  </si>
  <si>
    <t>Varsaminte din sectiunea de functionare</t>
  </si>
  <si>
    <t>370500</t>
  </si>
  <si>
    <t>Sume  primite din Fondul de Solidaritate al Uniunii Europene</t>
  </si>
  <si>
    <t>426900</t>
  </si>
  <si>
    <t>Subventii de la bugetul de stat catre bugetele locale necesare sustinerii derularii proiectelor finantate din fonduri externe nerambursabile (FEN) postaderare, aferete perioadei de programare 2014-2020</t>
  </si>
  <si>
    <t>480101</t>
  </si>
  <si>
    <t>Sume primite in contul platilor efectuate in anul curent</t>
  </si>
  <si>
    <t>480102</t>
  </si>
  <si>
    <t>Carburanti si lubrifianti</t>
  </si>
  <si>
    <t>200107</t>
  </si>
  <si>
    <t>Transport</t>
  </si>
  <si>
    <t>590100</t>
  </si>
  <si>
    <t xml:space="preserve">Burse </t>
  </si>
  <si>
    <t>200602</t>
  </si>
  <si>
    <t>Deplasari in strainatate</t>
  </si>
  <si>
    <t>200402</t>
  </si>
  <si>
    <t>Materiale sanitare</t>
  </si>
  <si>
    <t>200503</t>
  </si>
  <si>
    <t>Lenjerie si accesorii de pat</t>
  </si>
  <si>
    <t>570203</t>
  </si>
  <si>
    <t>Tichete de cresa si tichete sociale pentru gradinita</t>
  </si>
  <si>
    <t>591200</t>
  </si>
  <si>
    <t>Sustinerea cultelor</t>
  </si>
  <si>
    <t>580101</t>
  </si>
  <si>
    <t>Finantarea nationala</t>
  </si>
  <si>
    <t>580102</t>
  </si>
  <si>
    <t>Finantarea externa nerambursabila</t>
  </si>
  <si>
    <t>580103</t>
  </si>
  <si>
    <t>LA DATA: 31-DEC-24</t>
  </si>
  <si>
    <t>155000</t>
  </si>
  <si>
    <t>Alte taxe pe servicii specifice</t>
  </si>
  <si>
    <t>426500</t>
  </si>
  <si>
    <t>Finantarea Programului National de Dezvoltare Locala</t>
  </si>
  <si>
    <t>454801</t>
  </si>
  <si>
    <t>670600</t>
  </si>
  <si>
    <t>Servicii religioase</t>
  </si>
  <si>
    <t>PERIOADA</t>
  </si>
  <si>
    <t>date financiare valabile in data de 23.02.2026</t>
  </si>
  <si>
    <t xml:space="preserve">                             SITUATIE privind serviciul datoriei publice locale a Orasului Eforie in perioada 2026-2038</t>
  </si>
  <si>
    <t>1.5</t>
  </si>
  <si>
    <t>a1.5) Rambursarea finantarii</t>
  </si>
  <si>
    <t xml:space="preserve">b1.5) Dobanzi </t>
  </si>
  <si>
    <t>c1.5) Comisioane</t>
  </si>
  <si>
    <t>Serviciul datoriei publice locale pentru finantarea rambursabila: finantator Unicredit valoare contract 18 mil ron (a1.5+b1.5+c1.5)</t>
  </si>
  <si>
    <t>Serviciul datoriei publice locale pentru finantarea rambursabila: finantator Eximbank valoare contract 7.5 mil. ron (a1.4+b1.4+c1.4)</t>
  </si>
  <si>
    <t>1.6</t>
  </si>
  <si>
    <t>Serviciul datoriei publice locale pentru finantarea rambursabila: finantator Ministerul Finantelor valoare contract 10 mil ron (a1.5+b1.5+c1.5)</t>
  </si>
  <si>
    <t>a1.6) Rambursarea finantarii</t>
  </si>
  <si>
    <t xml:space="preserve">b1.6) Dobanzi </t>
  </si>
  <si>
    <t>c1.6) Comisioane</t>
  </si>
  <si>
    <t>Serviciul datoriei publice locale pentru care se solicita imprumutul 22 mil ron (a2+b2.+c2)</t>
  </si>
  <si>
    <t>a1) Rambursarea finantarii (a1.1+a1.2+a1.3+a1.4+a1.5+a1.6)</t>
  </si>
  <si>
    <t>b1) Dobanzi (b1.1+b1.2+b1.3+b1.4+b1.5+b1.6)</t>
  </si>
  <si>
    <t>c1) Comisioane (c1.1+c1.2+c1.3+c1.4+c1.5+c1.6)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</si>
</sst>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? &quot;#,##0_);[Red]&quot;(? &quot;#,##0\)"/>
    <numFmt numFmtId="166" formatCode="&quot;\ &quot;#,##0_);[Red]&quot;(\ &quot;#,##0\)"/>
    <numFmt numFmtId="167" formatCode="&quot;£ &quot;#,##0_);[Red]&quot;(£ &quot;#,##0\)"/>
    <numFmt numFmtId="168" formatCode="&quot;$ &quot;#,##0_);&quot;($ &quot;#,##0\);\-_)"/>
    <numFmt numFmtId="169" formatCode="0%_);\(0%\);\-_)"/>
    <numFmt numFmtId="170" formatCode="#,##0_);\(#,##0\);\-_)"/>
    <numFmt numFmtId="171" formatCode="&quot;$ &quot;#,##0.0_);&quot;($ &quot;#,##0.0\);\-_)"/>
    <numFmt numFmtId="172" formatCode="0.0%_);\(0.0%\);\-_)"/>
    <numFmt numFmtId="173" formatCode="#,##0.0_);\(#,##0.0\);\-_)"/>
    <numFmt numFmtId="174" formatCode="&quot;$ &quot;#,##0.00_);&quot;($ &quot;#,##0.00\);\-_)"/>
    <numFmt numFmtId="175" formatCode="0.00%_);\(0.00%\);\-_)"/>
    <numFmt numFmtId="176" formatCode="#,##0.00_);\(#,##0.00\);\-_)"/>
    <numFmt numFmtId="177" formatCode="&quot;$ &quot;#,##0.000_);&quot;($ &quot;#,##0.000\);\-_)"/>
    <numFmt numFmtId="178" formatCode="0.000%_);\(0.000%\);\-_)"/>
    <numFmt numFmtId="179" formatCode="#,##0.000_);\(#,##0.000\);\-_)"/>
    <numFmt numFmtId="180" formatCode="d\-mmm\-yy_);d\-mmm\-yy_);&quot;&quot;"/>
    <numFmt numFmtId="181" formatCode="#,_);\(#,\);\-_)"/>
    <numFmt numFmtId="182" formatCode="#,##0_);\(#,##0\);&quot;- &quot;"/>
    <numFmt numFmtId="183" formatCode="General;[Red]\-General"/>
    <numFmt numFmtId="184" formatCode="&quot;•  &quot;@"/>
    <numFmt numFmtId="185" formatCode="0.000_)"/>
    <numFmt numFmtId="186" formatCode="#,##0.0_);\(#,##0.0\)"/>
    <numFmt numFmtId="187" formatCode="#,##0.00;\-#,##0.00"/>
    <numFmt numFmtId="188" formatCode="#,##0.000_);\(#,##0.000\)"/>
    <numFmt numFmtId="189" formatCode="&quot;$ &quot;#,##0.0_);&quot;($ &quot;#,##0.0\)"/>
    <numFmt numFmtId="190" formatCode="&quot;$ &quot;#,##0.00_);&quot;($ &quot;#,##0.00\)"/>
    <numFmt numFmtId="191" formatCode="&quot;$ &quot;#,##0.000_);&quot;($ &quot;#,##0.000\)"/>
    <numFmt numFmtId="192" formatCode="&quot;  &quot;_•&quot;–    &quot;@"/>
    <numFmt numFmtId="193" formatCode="mmmm\ d&quot;, &quot;yyyy_)"/>
    <numFmt numFmtId="194" formatCode="d\-mmm\-yy_)"/>
    <numFmt numFmtId="195" formatCode="m/d/yy_)"/>
    <numFmt numFmtId="196" formatCode="m/yy_)"/>
    <numFmt numFmtId="197" formatCode="mmm\-yy_)"/>
    <numFmt numFmtId="198" formatCode="_-[$€-2]\ * #,##0.00_-;\-[$€-2]\ * #,##0.00_-;_-[$€-2]\ * \-??_-"/>
    <numFmt numFmtId="199" formatCode="#\ ?/?_)"/>
    <numFmt numFmtId="200" formatCode=";;;"/>
    <numFmt numFmtId="201" formatCode="0.00_)"/>
    <numFmt numFmtId="202" formatCode="0.0%_);\(0.0%\)"/>
    <numFmt numFmtId="203" formatCode="0.00%_);\(0.00%\)"/>
    <numFmt numFmtId="204" formatCode="0.000%_);\(0.000%\)"/>
    <numFmt numFmtId="205" formatCode="#,##0_);\(#,##0\);\-_);&quot;• &quot;@_)"/>
    <numFmt numFmtId="206" formatCode="#,##0_);\(#,##0\);\-_);&quot;– &quot;@"/>
    <numFmt numFmtId="207" formatCode="#,##0_);\(#,##0\);\-_);&quot;— &quot;@"/>
    <numFmt numFmtId="208" formatCode="#,##0\x_);\(#,##0&quot;x)&quot;"/>
    <numFmt numFmtId="209" formatCode="#,##0.0\x_);\(#,##0.0&quot;x)&quot;"/>
    <numFmt numFmtId="210" formatCode="#,##0.00\x_);\(#,##0.00&quot;x)&quot;"/>
    <numFmt numFmtId="211" formatCode="_(* #,##0_);_(* \(#,##0\);_(* \-_);_(@_)"/>
    <numFmt numFmtId="212" formatCode="_(* #,##0.0_);_(* \(#,##0.0\);_(* &quot;-&quot;??_);_(@_)"/>
    <numFmt numFmtId="213" formatCode="0.0%"/>
    <numFmt numFmtId="214" formatCode="_-* #,##0.00\ _l_e_i_-;\-* #,##0.00\ _l_e_i_-;_-* &quot;-&quot;??\ _l_e_i_-;_-@_-"/>
    <numFmt numFmtId="215" formatCode="[$-409]d\-mmm\-yy;@"/>
    <numFmt numFmtId="216" formatCode="_-* #,##0\ _l_e_i_-;\-* #,##0\ _l_e_i_-;_-* &quot;-&quot;??\ _l_e_i_-;_-@_-"/>
    <numFmt numFmtId="217" formatCode="_(* #,##0.000_);_(* \(#,##0.000\);_(* &quot;-&quot;??_);_(@_)"/>
    <numFmt numFmtId="218" formatCode="_(* #,##0.0000_);_(* \(#,##0.0000\);_(* &quot;-&quot;??_);_(@_)"/>
  </numFmts>
  <fonts count="7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"/>
      <family val="1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name val="Tms Rmn"/>
      <family val="1"/>
    </font>
    <font>
      <sz val="12"/>
      <name val="Times New Roman"/>
      <family val="1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6"/>
      <name val="Helv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!!Helvetica"/>
    </font>
    <font>
      <u/>
      <sz val="11"/>
      <color indexed="12"/>
      <name val="ＭＳ Ｐゴシック"/>
      <family val="3"/>
      <charset val="128"/>
    </font>
    <font>
      <sz val="11"/>
      <name val="돋움"/>
      <family val="2"/>
      <charset val="129"/>
    </font>
    <font>
      <sz val="11"/>
      <color indexed="8"/>
      <name val="ＭＳ Ｐゴシック"/>
      <family val="2"/>
      <charset val="128"/>
    </font>
    <font>
      <u/>
      <sz val="11"/>
      <color indexed="20"/>
      <name val="ＭＳ Ｐゴシック"/>
      <family val="3"/>
      <charset val="128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sz val="9"/>
      <color theme="1"/>
      <name val="Calibri"/>
    </font>
    <font>
      <sz val="9"/>
      <color rgb="FFFF0000"/>
      <name val="Times New Roman"/>
      <family val="1"/>
    </font>
    <font>
      <sz val="11"/>
      <color rgb="FFFF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93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3" fillId="2" borderId="0" applyBorder="0" applyAlignment="0" applyProtection="0"/>
    <xf numFmtId="166" fontId="3" fillId="2" borderId="0" applyBorder="0" applyAlignment="0" applyProtection="0"/>
    <xf numFmtId="167" fontId="3" fillId="2" borderId="0" applyBorder="0" applyAlignment="0" applyProtection="0"/>
    <xf numFmtId="166" fontId="3" fillId="2" borderId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168" fontId="3" fillId="2" borderId="0" applyBorder="0" applyAlignment="0" applyProtection="0"/>
    <xf numFmtId="169" fontId="3" fillId="2" borderId="0" applyBorder="0" applyAlignment="0" applyProtection="0"/>
    <xf numFmtId="170" fontId="3" fillId="2" borderId="0" applyBorder="0" applyAlignment="0" applyProtection="0"/>
    <xf numFmtId="171" fontId="3" fillId="2" borderId="0" applyBorder="0" applyAlignment="0" applyProtection="0"/>
    <xf numFmtId="172" fontId="3" fillId="2" borderId="0" applyBorder="0" applyAlignment="0" applyProtection="0"/>
    <xf numFmtId="173" fontId="3" fillId="2" borderId="0" applyBorder="0" applyAlignment="0" applyProtection="0"/>
    <xf numFmtId="174" fontId="3" fillId="2" borderId="0" applyBorder="0" applyAlignment="0" applyProtection="0"/>
    <xf numFmtId="175" fontId="3" fillId="2" borderId="0" applyBorder="0" applyAlignment="0" applyProtection="0"/>
    <xf numFmtId="176" fontId="3" fillId="2" borderId="0" applyBorder="0" applyAlignment="0" applyProtection="0"/>
    <xf numFmtId="177" fontId="3" fillId="2" borderId="0" applyBorder="0" applyAlignment="0" applyProtection="0"/>
    <xf numFmtId="178" fontId="3" fillId="2" borderId="0" applyBorder="0" applyAlignment="0" applyProtection="0"/>
    <xf numFmtId="179" fontId="3" fillId="2" borderId="0" applyBorder="0" applyAlignment="0" applyProtection="0"/>
    <xf numFmtId="180" fontId="3" fillId="2" borderId="0" applyBorder="0" applyAlignment="0" applyProtection="0"/>
    <xf numFmtId="181" fontId="3" fillId="2" borderId="0" applyBorder="0" applyAlignment="0" applyProtection="0"/>
    <xf numFmtId="182" fontId="3" fillId="2" borderId="0" applyBorder="0" applyAlignment="0"/>
    <xf numFmtId="183" fontId="7" fillId="2" borderId="11" applyAlignment="0" applyProtection="0"/>
    <xf numFmtId="184" fontId="3" fillId="2" borderId="0" applyBorder="0" applyAlignment="0" applyProtection="0"/>
    <xf numFmtId="0" fontId="8" fillId="21" borderId="0" applyNumberFormat="0" applyBorder="0" applyAlignment="0" applyProtection="0"/>
    <xf numFmtId="0" fontId="9" fillId="22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9" fillId="23" borderId="12" applyNumberFormat="0" applyAlignment="0" applyProtection="0"/>
    <xf numFmtId="0" fontId="10" fillId="0" borderId="13" applyNumberFormat="0" applyFill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0" fontId="11" fillId="24" borderId="14" applyNumberFormat="0" applyAlignment="0" applyProtection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5" fontId="12" fillId="0" borderId="0"/>
    <xf numFmtId="186" fontId="3" fillId="2" borderId="0" applyBorder="0" applyAlignment="0" applyProtection="0"/>
    <xf numFmtId="187" fontId="3" fillId="2" borderId="0" applyBorder="0" applyAlignment="0" applyProtection="0"/>
    <xf numFmtId="188" fontId="3" fillId="2" borderId="0" applyBorder="0" applyAlignment="0" applyProtection="0"/>
    <xf numFmtId="0" fontId="13" fillId="2" borderId="0"/>
    <xf numFmtId="189" fontId="3" fillId="2" borderId="0" applyBorder="0" applyAlignment="0" applyProtection="0"/>
    <xf numFmtId="190" fontId="3" fillId="2" borderId="0" applyBorder="0" applyAlignment="0" applyProtection="0"/>
    <xf numFmtId="191" fontId="3" fillId="2" borderId="0" applyBorder="0" applyAlignment="0" applyProtection="0"/>
    <xf numFmtId="192" fontId="3" fillId="2" borderId="0" applyBorder="0" applyAlignment="0" applyProtection="0"/>
    <xf numFmtId="193" fontId="3" fillId="2" borderId="0" applyBorder="0" applyAlignment="0" applyProtection="0"/>
    <xf numFmtId="194" fontId="3" fillId="2" borderId="0" applyBorder="0" applyAlignment="0" applyProtection="0"/>
    <xf numFmtId="195" fontId="3" fillId="2" borderId="0" applyBorder="0" applyAlignment="0" applyProtection="0"/>
    <xf numFmtId="196" fontId="3" fillId="2" borderId="0" applyBorder="0" applyAlignment="0" applyProtection="0"/>
    <xf numFmtId="197" fontId="3" fillId="2" borderId="0" applyBorder="0" applyAlignment="0" applyProtection="0"/>
    <xf numFmtId="193" fontId="3" fillId="2" borderId="0" applyBorder="0" applyAlignment="0" applyProtection="0"/>
    <xf numFmtId="0" fontId="6" fillId="25" borderId="0" applyNumberFormat="0" applyBorder="0" applyAlignment="0" applyProtection="0"/>
    <xf numFmtId="198" fontId="3" fillId="2" borderId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Border="0" applyAlignment="0" applyProtection="0"/>
    <xf numFmtId="0" fontId="3" fillId="2" borderId="0" applyBorder="0" applyAlignment="0" applyProtection="0"/>
    <xf numFmtId="199" fontId="3" fillId="2" borderId="0" applyBorder="0" applyAlignment="0" applyProtection="0"/>
    <xf numFmtId="0" fontId="3" fillId="2" borderId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200" fontId="3" fillId="2" borderId="0" applyBorder="0" applyAlignment="0" applyProtection="0"/>
    <xf numFmtId="0" fontId="18" fillId="22" borderId="18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19" fillId="26" borderId="12" applyNumberFormat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201" fontId="2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0" fontId="4" fillId="29" borderId="19" applyNumberForma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22" fillId="30" borderId="19" applyNumberFormat="0" applyFon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0" fontId="18" fillId="23" borderId="18" applyNumberFormat="0" applyAlignment="0" applyProtection="0"/>
    <xf numFmtId="202" fontId="3" fillId="2" borderId="0" applyBorder="0" applyAlignment="0" applyProtection="0"/>
    <xf numFmtId="203" fontId="3" fillId="2" borderId="0" applyBorder="0" applyAlignment="0" applyProtection="0"/>
    <xf numFmtId="204" fontId="3" fillId="2" borderId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3" fillId="2" borderId="0" applyBorder="0" applyAlignment="0" applyProtection="0"/>
    <xf numFmtId="206" fontId="3" fillId="2" borderId="0" applyBorder="0" applyAlignment="0" applyProtection="0"/>
    <xf numFmtId="207" fontId="3" fillId="2" borderId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08" fontId="3" fillId="2" borderId="0" applyBorder="0" applyAlignment="0" applyProtection="0"/>
    <xf numFmtId="209" fontId="3" fillId="2" borderId="0" applyBorder="0" applyAlignment="0" applyProtection="0"/>
    <xf numFmtId="210" fontId="3" fillId="2" borderId="0" applyBorder="0" applyAlignment="0" applyProtection="0"/>
    <xf numFmtId="208" fontId="3" fillId="2" borderId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44" fontId="27" fillId="0" borderId="0" applyFont="0" applyFill="0" applyBorder="0" applyAlignment="0" applyProtection="0"/>
    <xf numFmtId="0" fontId="11" fillId="31" borderId="14" applyNumberFormat="0" applyAlignment="0" applyProtection="0"/>
    <xf numFmtId="3" fontId="3" fillId="2" borderId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83" fontId="28" fillId="2" borderId="0" applyBorder="0" applyAlignment="0" applyProtection="0"/>
    <xf numFmtId="0" fontId="29" fillId="0" borderId="0"/>
    <xf numFmtId="211" fontId="3" fillId="2" borderId="0" applyBorder="0" applyAlignment="0" applyProtection="0"/>
    <xf numFmtId="211" fontId="3" fillId="2" borderId="0" applyBorder="0" applyAlignment="0" applyProtection="0"/>
    <xf numFmtId="0" fontId="30" fillId="0" borderId="0"/>
    <xf numFmtId="183" fontId="31" fillId="2" borderId="0" applyBorder="0" applyAlignment="0" applyProtection="0"/>
    <xf numFmtId="183" fontId="31" fillId="2" borderId="0" applyBorder="0" applyAlignment="0" applyProtection="0"/>
    <xf numFmtId="168" fontId="3" fillId="2" borderId="0"/>
    <xf numFmtId="9" fontId="1" fillId="0" borderId="0" applyFill="0" applyBorder="0" applyAlignment="0" applyProtection="0"/>
    <xf numFmtId="0" fontId="22" fillId="0" borderId="0"/>
    <xf numFmtId="164" fontId="3" fillId="2" borderId="0"/>
    <xf numFmtId="9" fontId="22" fillId="0" borderId="0" applyFill="0" applyBorder="0" applyAlignment="0" applyProtection="0"/>
    <xf numFmtId="43" fontId="34" fillId="0" borderId="0" applyFont="0" applyFill="0" applyBorder="0" applyAlignment="0" applyProtection="0"/>
    <xf numFmtId="164" fontId="3" fillId="2" borderId="0"/>
    <xf numFmtId="0" fontId="22" fillId="0" borderId="0"/>
    <xf numFmtId="9" fontId="22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2" borderId="0"/>
    <xf numFmtId="167" fontId="3" fillId="0" borderId="0" applyFont="0" applyFill="0" applyBorder="0" applyAlignment="0" applyProtection="0"/>
    <xf numFmtId="9" fontId="22" fillId="0" borderId="0" applyFill="0" applyBorder="0" applyAlignment="0" applyProtection="0"/>
    <xf numFmtId="164" fontId="3" fillId="2" borderId="0"/>
    <xf numFmtId="167" fontId="3" fillId="0" borderId="0" applyFont="0" applyFill="0" applyBorder="0" applyAlignment="0" applyProtection="0"/>
    <xf numFmtId="164" fontId="3" fillId="2" borderId="0"/>
    <xf numFmtId="9" fontId="22" fillId="0" borderId="0" applyFill="0" applyBorder="0" applyAlignment="0" applyProtection="0"/>
    <xf numFmtId="167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183" fontId="3" fillId="2" borderId="0"/>
    <xf numFmtId="0" fontId="1" fillId="0" borderId="0"/>
    <xf numFmtId="0" fontId="1" fillId="0" borderId="0"/>
    <xf numFmtId="21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9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0" fontId="1" fillId="30" borderId="19" applyNumberFormat="0" applyFont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56" fillId="0" borderId="0"/>
    <xf numFmtId="0" fontId="61" fillId="0" borderId="0"/>
  </cellStyleXfs>
  <cellXfs count="417">
    <xf numFmtId="0" fontId="0" fillId="0" borderId="0" xfId="0"/>
    <xf numFmtId="0" fontId="1" fillId="0" borderId="0" xfId="1" applyAlignment="1">
      <alignment vertical="center" wrapText="1"/>
    </xf>
    <xf numFmtId="0" fontId="1" fillId="0" borderId="0" xfId="1"/>
    <xf numFmtId="0" fontId="1" fillId="0" borderId="0" xfId="1" applyAlignment="1">
      <alignment horizontal="left" indent="9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1" fillId="0" borderId="1" xfId="1" applyBorder="1"/>
    <xf numFmtId="43" fontId="1" fillId="0" borderId="1" xfId="1" applyNumberFormat="1" applyBorder="1"/>
    <xf numFmtId="9" fontId="1" fillId="0" borderId="0" xfId="2" applyFont="1" applyBorder="1"/>
    <xf numFmtId="0" fontId="1" fillId="0" borderId="1" xfId="1" applyBorder="1" applyAlignment="1" applyProtection="1">
      <alignment wrapText="1"/>
      <protection locked="0"/>
    </xf>
    <xf numFmtId="43" fontId="1" fillId="0" borderId="0" xfId="1" applyNumberFormat="1"/>
    <xf numFmtId="49" fontId="1" fillId="0" borderId="0" xfId="724" applyNumberFormat="1"/>
    <xf numFmtId="0" fontId="1" fillId="0" borderId="0" xfId="724"/>
    <xf numFmtId="0" fontId="2" fillId="0" borderId="0" xfId="724" applyFont="1"/>
    <xf numFmtId="0" fontId="1" fillId="0" borderId="0" xfId="724" applyAlignment="1">
      <alignment horizontal="center"/>
    </xf>
    <xf numFmtId="0" fontId="1" fillId="0" borderId="1" xfId="724" applyBorder="1" applyAlignment="1">
      <alignment vertical="top" wrapText="1"/>
    </xf>
    <xf numFmtId="43" fontId="1" fillId="0" borderId="1" xfId="724" applyNumberFormat="1" applyBorder="1" applyAlignment="1">
      <alignment horizontal="center" vertical="center"/>
    </xf>
    <xf numFmtId="43" fontId="1" fillId="0" borderId="0" xfId="724" applyNumberFormat="1"/>
    <xf numFmtId="0" fontId="1" fillId="0" borderId="1" xfId="724" applyBorder="1" applyAlignment="1">
      <alignment vertical="top"/>
    </xf>
    <xf numFmtId="0" fontId="1" fillId="0" borderId="0" xfId="724" applyAlignment="1">
      <alignment horizontal="center" vertical="top"/>
    </xf>
    <xf numFmtId="0" fontId="32" fillId="0" borderId="1" xfId="724" applyFont="1" applyBorder="1" applyAlignment="1">
      <alignment vertical="top" wrapText="1"/>
    </xf>
    <xf numFmtId="0" fontId="35" fillId="35" borderId="0" xfId="837" applyFont="1" applyFill="1"/>
    <xf numFmtId="0" fontId="36" fillId="32" borderId="0" xfId="837" applyFont="1" applyFill="1" applyAlignment="1">
      <alignment vertical="center"/>
    </xf>
    <xf numFmtId="0" fontId="35" fillId="32" borderId="0" xfId="837" applyFont="1" applyFill="1"/>
    <xf numFmtId="0" fontId="37" fillId="36" borderId="0" xfId="837" applyFont="1" applyFill="1"/>
    <xf numFmtId="183" fontId="33" fillId="36" borderId="0" xfId="841" applyNumberFormat="1" applyFont="1" applyFill="1" applyAlignment="1" applyProtection="1">
      <alignment wrapText="1"/>
      <protection locked="0"/>
    </xf>
    <xf numFmtId="183" fontId="33" fillId="32" borderId="0" xfId="841" applyNumberFormat="1" applyFont="1" applyFill="1" applyAlignment="1" applyProtection="1">
      <alignment wrapText="1"/>
      <protection locked="0"/>
    </xf>
    <xf numFmtId="183" fontId="33" fillId="32" borderId="0" xfId="841" applyNumberFormat="1" applyFont="1" applyFill="1" applyAlignment="1" applyProtection="1">
      <alignment horizontal="center" wrapText="1"/>
      <protection locked="0"/>
    </xf>
    <xf numFmtId="0" fontId="32" fillId="32" borderId="0" xfId="837" applyFont="1" applyFill="1"/>
    <xf numFmtId="0" fontId="37" fillId="32" borderId="0" xfId="837" applyFont="1" applyFill="1"/>
    <xf numFmtId="0" fontId="22" fillId="0" borderId="0" xfId="842" applyAlignment="1">
      <alignment vertical="center" wrapText="1"/>
    </xf>
    <xf numFmtId="0" fontId="22" fillId="0" borderId="0" xfId="842"/>
    <xf numFmtId="0" fontId="22" fillId="0" borderId="0" xfId="842" applyAlignment="1">
      <alignment horizontal="center" wrapText="1"/>
    </xf>
    <xf numFmtId="0" fontId="22" fillId="0" borderId="0" xfId="842" applyAlignment="1">
      <alignment wrapText="1"/>
    </xf>
    <xf numFmtId="0" fontId="22" fillId="0" borderId="1" xfId="842" applyBorder="1" applyAlignment="1">
      <alignment horizontal="center" vertical="center" wrapText="1"/>
    </xf>
    <xf numFmtId="0" fontId="22" fillId="0" borderId="1" xfId="842" applyBorder="1" applyAlignment="1">
      <alignment horizontal="center" wrapText="1"/>
    </xf>
    <xf numFmtId="0" fontId="22" fillId="0" borderId="1" xfId="842" applyBorder="1" applyAlignment="1">
      <alignment horizontal="left" wrapText="1"/>
    </xf>
    <xf numFmtId="212" fontId="22" fillId="33" borderId="1" xfId="842" applyNumberFormat="1" applyFill="1" applyBorder="1" applyAlignment="1">
      <alignment horizontal="center" vertical="center"/>
    </xf>
    <xf numFmtId="212" fontId="22" fillId="0" borderId="1" xfId="842" applyNumberFormat="1" applyBorder="1" applyAlignment="1">
      <alignment horizontal="center" vertical="center"/>
    </xf>
    <xf numFmtId="212" fontId="22" fillId="0" borderId="1" xfId="842" applyNumberFormat="1" applyBorder="1" applyAlignment="1">
      <alignment horizontal="center" vertical="center" wrapText="1"/>
    </xf>
    <xf numFmtId="0" fontId="22" fillId="0" borderId="1" xfId="842" applyBorder="1"/>
    <xf numFmtId="43" fontId="22" fillId="0" borderId="0" xfId="842" applyNumberFormat="1"/>
    <xf numFmtId="9" fontId="22" fillId="0" borderId="0" xfId="843" applyFont="1" applyBorder="1"/>
    <xf numFmtId="0" fontId="22" fillId="0" borderId="1" xfId="842" applyBorder="1" applyAlignment="1" applyProtection="1">
      <alignment wrapText="1"/>
      <protection locked="0"/>
    </xf>
    <xf numFmtId="213" fontId="22" fillId="0" borderId="1" xfId="843" applyNumberFormat="1" applyFont="1" applyBorder="1" applyAlignment="1">
      <alignment horizontal="center" vertical="center"/>
    </xf>
    <xf numFmtId="213" fontId="22" fillId="0" borderId="1" xfId="842" applyNumberFormat="1" applyBorder="1" applyAlignment="1">
      <alignment horizontal="center" vertical="center"/>
    </xf>
    <xf numFmtId="212" fontId="22" fillId="0" borderId="0" xfId="842" applyNumberFormat="1"/>
    <xf numFmtId="214" fontId="22" fillId="0" borderId="0" xfId="844" applyNumberFormat="1" applyFont="1"/>
    <xf numFmtId="43" fontId="0" fillId="0" borderId="0" xfId="840" applyFont="1"/>
    <xf numFmtId="0" fontId="22" fillId="0" borderId="0" xfId="724" applyFont="1" applyAlignment="1">
      <alignment horizontal="center"/>
    </xf>
    <xf numFmtId="183" fontId="33" fillId="36" borderId="0" xfId="841" applyNumberFormat="1" applyFont="1" applyFill="1" applyAlignment="1" applyProtection="1">
      <alignment horizontal="center" wrapText="1"/>
      <protection locked="0"/>
    </xf>
    <xf numFmtId="0" fontId="22" fillId="0" borderId="1" xfId="724" applyFont="1" applyBorder="1" applyAlignment="1">
      <alignment vertical="top" wrapText="1"/>
    </xf>
    <xf numFmtId="43" fontId="0" fillId="0" borderId="0" xfId="0" applyNumberFormat="1"/>
    <xf numFmtId="43" fontId="0" fillId="37" borderId="0" xfId="840" applyFont="1" applyFill="1"/>
    <xf numFmtId="43" fontId="0" fillId="34" borderId="0" xfId="840" applyFont="1" applyFill="1"/>
    <xf numFmtId="0" fontId="32" fillId="0" borderId="0" xfId="1" applyFont="1"/>
    <xf numFmtId="49" fontId="1" fillId="0" borderId="0" xfId="724" applyNumberFormat="1" applyAlignment="1">
      <alignment horizontal="center" vertical="center" wrapText="1"/>
    </xf>
    <xf numFmtId="0" fontId="1" fillId="0" borderId="0" xfId="724" applyAlignment="1">
      <alignment vertical="top"/>
    </xf>
    <xf numFmtId="43" fontId="1" fillId="0" borderId="0" xfId="724" applyNumberFormat="1" applyAlignment="1">
      <alignment horizontal="center" vertical="center"/>
    </xf>
    <xf numFmtId="43" fontId="32" fillId="0" borderId="1" xfId="724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43" fontId="0" fillId="0" borderId="1" xfId="840" applyFont="1" applyBorder="1"/>
    <xf numFmtId="43" fontId="0" fillId="0" borderId="1" xfId="0" applyNumberFormat="1" applyBorder="1"/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0" fillId="0" borderId="31" xfId="0" applyBorder="1"/>
    <xf numFmtId="0" fontId="0" fillId="0" borderId="32" xfId="0" applyBorder="1"/>
    <xf numFmtId="0" fontId="38" fillId="0" borderId="33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43" fontId="0" fillId="0" borderId="26" xfId="840" applyFont="1" applyBorder="1"/>
    <xf numFmtId="43" fontId="0" fillId="0" borderId="26" xfId="0" applyNumberFormat="1" applyBorder="1"/>
    <xf numFmtId="0" fontId="0" fillId="0" borderId="33" xfId="0" applyBorder="1" applyAlignment="1">
      <alignment horizontal="center"/>
    </xf>
    <xf numFmtId="43" fontId="0" fillId="0" borderId="37" xfId="0" applyNumberFormat="1" applyBorder="1"/>
    <xf numFmtId="0" fontId="38" fillId="0" borderId="34" xfId="0" applyFont="1" applyBorder="1" applyAlignment="1">
      <alignment horizontal="center"/>
    </xf>
    <xf numFmtId="0" fontId="38" fillId="0" borderId="35" xfId="0" applyFont="1" applyBorder="1"/>
    <xf numFmtId="43" fontId="38" fillId="0" borderId="35" xfId="0" applyNumberFormat="1" applyFont="1" applyBorder="1"/>
    <xf numFmtId="43" fontId="38" fillId="0" borderId="36" xfId="0" applyNumberFormat="1" applyFont="1" applyBorder="1"/>
    <xf numFmtId="0" fontId="0" fillId="0" borderId="38" xfId="0" applyBorder="1"/>
    <xf numFmtId="0" fontId="0" fillId="0" borderId="5" xfId="0" applyBorder="1"/>
    <xf numFmtId="0" fontId="0" fillId="0" borderId="39" xfId="0" applyBorder="1"/>
    <xf numFmtId="0" fontId="38" fillId="0" borderId="27" xfId="0" applyFont="1" applyBorder="1" applyAlignment="1">
      <alignment horizontal="center"/>
    </xf>
    <xf numFmtId="0" fontId="38" fillId="0" borderId="28" xfId="0" applyFont="1" applyBorder="1"/>
    <xf numFmtId="43" fontId="38" fillId="0" borderId="28" xfId="0" applyNumberFormat="1" applyFont="1" applyBorder="1"/>
    <xf numFmtId="43" fontId="38" fillId="0" borderId="29" xfId="0" applyNumberFormat="1" applyFont="1" applyBorder="1"/>
    <xf numFmtId="9" fontId="0" fillId="0" borderId="0" xfId="0" applyNumberFormat="1"/>
    <xf numFmtId="9" fontId="0" fillId="0" borderId="0" xfId="853" applyFont="1"/>
    <xf numFmtId="0" fontId="32" fillId="0" borderId="1" xfId="724" applyFont="1" applyBorder="1" applyAlignment="1">
      <alignment vertical="top"/>
    </xf>
    <xf numFmtId="0" fontId="32" fillId="0" borderId="1" xfId="724" applyFont="1" applyBorder="1" applyAlignment="1">
      <alignment horizontal="center" vertical="center" wrapText="1"/>
    </xf>
    <xf numFmtId="0" fontId="32" fillId="0" borderId="1" xfId="724" applyFont="1" applyBorder="1" applyAlignment="1">
      <alignment horizontal="center" vertical="top"/>
    </xf>
    <xf numFmtId="0" fontId="35" fillId="38" borderId="0" xfId="854" applyFont="1" applyFill="1"/>
    <xf numFmtId="0" fontId="36" fillId="34" borderId="0" xfId="854" applyFont="1" applyFill="1" applyAlignment="1">
      <alignment vertical="center"/>
    </xf>
    <xf numFmtId="0" fontId="35" fillId="32" borderId="0" xfId="854" applyFont="1" applyFill="1"/>
    <xf numFmtId="0" fontId="37" fillId="36" borderId="0" xfId="854" applyFont="1" applyFill="1"/>
    <xf numFmtId="183" fontId="33" fillId="36" borderId="0" xfId="855" applyFont="1" applyFill="1" applyAlignment="1" applyProtection="1">
      <alignment wrapText="1"/>
      <protection locked="0"/>
    </xf>
    <xf numFmtId="183" fontId="33" fillId="34" borderId="0" xfId="855" applyFont="1" applyFill="1" applyAlignment="1" applyProtection="1">
      <alignment wrapText="1"/>
      <protection locked="0"/>
    </xf>
    <xf numFmtId="183" fontId="33" fillId="34" borderId="0" xfId="855" applyFont="1" applyFill="1" applyAlignment="1" applyProtection="1">
      <alignment horizontal="center" wrapText="1"/>
      <protection locked="0"/>
    </xf>
    <xf numFmtId="0" fontId="32" fillId="34" borderId="0" xfId="854" applyFont="1" applyFill="1"/>
    <xf numFmtId="0" fontId="37" fillId="32" borderId="0" xfId="854" applyFont="1" applyFill="1"/>
    <xf numFmtId="183" fontId="41" fillId="2" borderId="0" xfId="855" applyFont="1"/>
    <xf numFmtId="183" fontId="41" fillId="2" borderId="0" xfId="855" applyFont="1" applyAlignment="1">
      <alignment horizontal="right"/>
    </xf>
    <xf numFmtId="183" fontId="42" fillId="2" borderId="0" xfId="855" applyFont="1" applyAlignment="1">
      <alignment horizontal="center"/>
    </xf>
    <xf numFmtId="4" fontId="41" fillId="2" borderId="43" xfId="855" applyNumberFormat="1" applyFont="1" applyBorder="1" applyAlignment="1">
      <alignment horizontal="center" vertical="center"/>
    </xf>
    <xf numFmtId="214" fontId="41" fillId="2" borderId="0" xfId="858" applyFont="1" applyFill="1" applyAlignment="1">
      <alignment horizontal="center" vertical="center"/>
    </xf>
    <xf numFmtId="183" fontId="44" fillId="0" borderId="0" xfId="855" applyFont="1" applyFill="1"/>
    <xf numFmtId="183" fontId="41" fillId="2" borderId="0" xfId="855" applyFont="1" applyAlignment="1">
      <alignment horizontal="center" vertical="center"/>
    </xf>
    <xf numFmtId="214" fontId="41" fillId="2" borderId="43" xfId="858" applyFont="1" applyFill="1" applyBorder="1" applyAlignment="1">
      <alignment horizontal="center" vertical="center"/>
    </xf>
    <xf numFmtId="214" fontId="41" fillId="2" borderId="0" xfId="858" applyFont="1" applyFill="1"/>
    <xf numFmtId="216" fontId="41" fillId="2" borderId="0" xfId="858" applyNumberFormat="1" applyFont="1" applyFill="1" applyAlignment="1">
      <alignment horizontal="center"/>
    </xf>
    <xf numFmtId="183" fontId="41" fillId="2" borderId="0" xfId="855" applyFont="1" applyAlignment="1">
      <alignment horizontal="center"/>
    </xf>
    <xf numFmtId="183" fontId="42" fillId="2" borderId="0" xfId="855" applyFont="1"/>
    <xf numFmtId="10" fontId="41" fillId="2" borderId="0" xfId="858" applyNumberFormat="1" applyFont="1" applyFill="1" applyAlignment="1">
      <alignment horizontal="center"/>
    </xf>
    <xf numFmtId="183" fontId="45" fillId="2" borderId="0" xfId="855" applyFont="1"/>
    <xf numFmtId="183" fontId="3" fillId="2" borderId="0" xfId="855"/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wrapText="1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/>
    </xf>
    <xf numFmtId="0" fontId="1" fillId="0" borderId="0" xfId="1" applyAlignment="1">
      <alignment horizontal="left" vertical="center" wrapText="1"/>
    </xf>
    <xf numFmtId="0" fontId="1" fillId="0" borderId="3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40" borderId="1" xfId="1" applyFill="1" applyBorder="1" applyAlignment="1">
      <alignment horizontal="center" vertical="top" wrapText="1"/>
    </xf>
    <xf numFmtId="0" fontId="32" fillId="40" borderId="1" xfId="1" applyFont="1" applyFill="1" applyBorder="1" applyAlignment="1">
      <alignment horizontal="center" vertical="center" wrapText="1"/>
    </xf>
    <xf numFmtId="43" fontId="32" fillId="40" borderId="1" xfId="1" applyNumberFormat="1" applyFont="1" applyFill="1" applyBorder="1"/>
    <xf numFmtId="10" fontId="32" fillId="40" borderId="1" xfId="853" applyNumberFormat="1" applyFont="1" applyFill="1" applyBorder="1"/>
    <xf numFmtId="43" fontId="1" fillId="0" borderId="10" xfId="724" applyNumberFormat="1" applyBorder="1" applyAlignment="1">
      <alignment horizontal="center" vertical="center"/>
    </xf>
    <xf numFmtId="0" fontId="1" fillId="0" borderId="1" xfId="724" applyBorder="1"/>
    <xf numFmtId="164" fontId="0" fillId="0" borderId="0" xfId="0" applyNumberFormat="1"/>
    <xf numFmtId="164" fontId="38" fillId="0" borderId="28" xfId="0" applyNumberFormat="1" applyFont="1" applyBorder="1"/>
    <xf numFmtId="164" fontId="38" fillId="0" borderId="29" xfId="0" applyNumberFormat="1" applyFont="1" applyBorder="1"/>
    <xf numFmtId="0" fontId="0" fillId="0" borderId="0" xfId="0" applyAlignment="1">
      <alignment horizontal="center"/>
    </xf>
    <xf numFmtId="0" fontId="38" fillId="0" borderId="44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0" fillId="0" borderId="1" xfId="0" applyNumberFormat="1" applyBorder="1"/>
    <xf numFmtId="164" fontId="0" fillId="0" borderId="1" xfId="840" applyNumberFormat="1" applyFont="1" applyBorder="1"/>
    <xf numFmtId="164" fontId="0" fillId="0" borderId="42" xfId="840" applyNumberFormat="1" applyFont="1" applyBorder="1"/>
    <xf numFmtId="164" fontId="38" fillId="0" borderId="35" xfId="0" applyNumberFormat="1" applyFont="1" applyBorder="1"/>
    <xf numFmtId="0" fontId="38" fillId="0" borderId="10" xfId="0" applyFont="1" applyBorder="1" applyAlignment="1">
      <alignment horizontal="center" vertical="center" wrapText="1"/>
    </xf>
    <xf numFmtId="164" fontId="1" fillId="0" borderId="1" xfId="1" applyNumberFormat="1" applyBorder="1"/>
    <xf numFmtId="0" fontId="38" fillId="0" borderId="2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215" fontId="34" fillId="0" borderId="0" xfId="862" applyNumberFormat="1"/>
    <xf numFmtId="0" fontId="34" fillId="0" borderId="0" xfId="862"/>
    <xf numFmtId="43" fontId="0" fillId="0" borderId="0" xfId="863" applyFont="1"/>
    <xf numFmtId="215" fontId="38" fillId="0" borderId="0" xfId="862" applyNumberFormat="1" applyFont="1"/>
    <xf numFmtId="43" fontId="34" fillId="0" borderId="0" xfId="862" applyNumberFormat="1"/>
    <xf numFmtId="215" fontId="46" fillId="0" borderId="0" xfId="862" applyNumberFormat="1" applyFont="1"/>
    <xf numFmtId="43" fontId="47" fillId="0" borderId="0" xfId="863" applyFont="1"/>
    <xf numFmtId="0" fontId="46" fillId="0" borderId="0" xfId="862" applyFont="1"/>
    <xf numFmtId="10" fontId="0" fillId="0" borderId="0" xfId="864" applyNumberFormat="1" applyFont="1"/>
    <xf numFmtId="0" fontId="0" fillId="0" borderId="0" xfId="862" applyFont="1"/>
    <xf numFmtId="43" fontId="34" fillId="0" borderId="0" xfId="840"/>
    <xf numFmtId="215" fontId="38" fillId="0" borderId="1" xfId="862" applyNumberFormat="1" applyFont="1" applyBorder="1" applyAlignment="1">
      <alignment horizontal="center"/>
    </xf>
    <xf numFmtId="0" fontId="38" fillId="0" borderId="1" xfId="862" applyFont="1" applyBorder="1" applyAlignment="1">
      <alignment horizontal="center"/>
    </xf>
    <xf numFmtId="43" fontId="38" fillId="0" borderId="1" xfId="863" applyFont="1" applyBorder="1" applyAlignment="1">
      <alignment horizontal="center"/>
    </xf>
    <xf numFmtId="0" fontId="38" fillId="0" borderId="1" xfId="863" applyNumberFormat="1" applyFont="1" applyBorder="1" applyAlignment="1">
      <alignment horizontal="center"/>
    </xf>
    <xf numFmtId="215" fontId="34" fillId="0" borderId="1" xfId="862" applyNumberFormat="1" applyBorder="1"/>
    <xf numFmtId="43" fontId="0" fillId="0" borderId="1" xfId="863" applyFont="1" applyBorder="1"/>
    <xf numFmtId="0" fontId="34" fillId="0" borderId="1" xfId="862" applyBorder="1"/>
    <xf numFmtId="43" fontId="34" fillId="0" borderId="1" xfId="862" applyNumberFormat="1" applyBorder="1"/>
    <xf numFmtId="43" fontId="34" fillId="0" borderId="1" xfId="840" applyBorder="1"/>
    <xf numFmtId="215" fontId="34" fillId="37" borderId="1" xfId="862" applyNumberFormat="1" applyFill="1" applyBorder="1"/>
    <xf numFmtId="43" fontId="34" fillId="37" borderId="1" xfId="862" applyNumberFormat="1" applyFill="1" applyBorder="1"/>
    <xf numFmtId="43" fontId="0" fillId="37" borderId="1" xfId="863" applyFont="1" applyFill="1" applyBorder="1"/>
    <xf numFmtId="0" fontId="34" fillId="37" borderId="0" xfId="862" applyFill="1"/>
    <xf numFmtId="43" fontId="34" fillId="37" borderId="0" xfId="862" applyNumberFormat="1" applyFill="1"/>
    <xf numFmtId="215" fontId="34" fillId="34" borderId="1" xfId="862" applyNumberFormat="1" applyFill="1" applyBorder="1"/>
    <xf numFmtId="43" fontId="34" fillId="34" borderId="1" xfId="862" applyNumberFormat="1" applyFill="1" applyBorder="1"/>
    <xf numFmtId="43" fontId="0" fillId="34" borderId="1" xfId="863" applyFont="1" applyFill="1" applyBorder="1"/>
    <xf numFmtId="0" fontId="34" fillId="34" borderId="0" xfId="862" applyFill="1"/>
    <xf numFmtId="43" fontId="34" fillId="34" borderId="0" xfId="862" applyNumberFormat="1" applyFill="1"/>
    <xf numFmtId="215" fontId="38" fillId="34" borderId="1" xfId="862" applyNumberFormat="1" applyFont="1" applyFill="1" applyBorder="1"/>
    <xf numFmtId="43" fontId="38" fillId="34" borderId="1" xfId="862" applyNumberFormat="1" applyFont="1" applyFill="1" applyBorder="1"/>
    <xf numFmtId="215" fontId="0" fillId="34" borderId="0" xfId="862" applyNumberFormat="1" applyFont="1" applyFill="1"/>
    <xf numFmtId="215" fontId="34" fillId="34" borderId="0" xfId="862" applyNumberFormat="1" applyFill="1"/>
    <xf numFmtId="43" fontId="0" fillId="34" borderId="0" xfId="863" applyFont="1" applyFill="1"/>
    <xf numFmtId="43" fontId="34" fillId="34" borderId="0" xfId="840" applyFill="1"/>
    <xf numFmtId="10" fontId="49" fillId="0" borderId="0" xfId="863" applyNumberFormat="1" applyFont="1"/>
    <xf numFmtId="43" fontId="34" fillId="0" borderId="0" xfId="840" applyFill="1"/>
    <xf numFmtId="215" fontId="0" fillId="0" borderId="0" xfId="862" applyNumberFormat="1" applyFont="1"/>
    <xf numFmtId="43" fontId="34" fillId="0" borderId="0" xfId="863" applyFill="1"/>
    <xf numFmtId="43" fontId="34" fillId="0" borderId="0" xfId="863"/>
    <xf numFmtId="43" fontId="0" fillId="0" borderId="0" xfId="862" applyNumberFormat="1" applyFont="1"/>
    <xf numFmtId="215" fontId="38" fillId="0" borderId="1" xfId="863" applyNumberFormat="1" applyFont="1" applyBorder="1" applyAlignment="1">
      <alignment horizontal="center"/>
    </xf>
    <xf numFmtId="215" fontId="34" fillId="0" borderId="1" xfId="863" applyNumberFormat="1" applyFont="1" applyBorder="1" applyAlignment="1">
      <alignment horizontal="center"/>
    </xf>
    <xf numFmtId="43" fontId="34" fillId="0" borderId="1" xfId="863" applyBorder="1"/>
    <xf numFmtId="43" fontId="34" fillId="37" borderId="1" xfId="840" applyFill="1" applyBorder="1"/>
    <xf numFmtId="43" fontId="34" fillId="37" borderId="1" xfId="863" applyFill="1" applyBorder="1"/>
    <xf numFmtId="43" fontId="34" fillId="34" borderId="1" xfId="863" applyFill="1" applyBorder="1"/>
    <xf numFmtId="215" fontId="50" fillId="34" borderId="0" xfId="862" applyNumberFormat="1" applyFont="1" applyFill="1"/>
    <xf numFmtId="43" fontId="50" fillId="34" borderId="0" xfId="862" applyNumberFormat="1" applyFont="1" applyFill="1"/>
    <xf numFmtId="43" fontId="50" fillId="34" borderId="0" xfId="863" applyFont="1" applyFill="1"/>
    <xf numFmtId="0" fontId="50" fillId="0" borderId="0" xfId="862" applyFont="1"/>
    <xf numFmtId="43" fontId="50" fillId="0" borderId="0" xfId="862" applyNumberFormat="1" applyFont="1"/>
    <xf numFmtId="0" fontId="50" fillId="34" borderId="0" xfId="862" applyFont="1" applyFill="1"/>
    <xf numFmtId="0" fontId="38" fillId="0" borderId="40" xfId="0" applyFont="1" applyBorder="1"/>
    <xf numFmtId="0" fontId="50" fillId="0" borderId="31" xfId="0" applyFont="1" applyBorder="1"/>
    <xf numFmtId="0" fontId="1" fillId="40" borderId="10" xfId="1" applyFill="1" applyBorder="1" applyAlignment="1">
      <alignment horizontal="center" vertical="top" wrapText="1"/>
    </xf>
    <xf numFmtId="43" fontId="34" fillId="34" borderId="1" xfId="840" applyFill="1" applyBorder="1"/>
    <xf numFmtId="0" fontId="51" fillId="0" borderId="0" xfId="724" applyFont="1" applyAlignment="1">
      <alignment vertical="top"/>
    </xf>
    <xf numFmtId="0" fontId="1" fillId="40" borderId="1" xfId="1" applyFill="1" applyBorder="1" applyAlignment="1" applyProtection="1">
      <alignment wrapText="1"/>
      <protection locked="0"/>
    </xf>
    <xf numFmtId="0" fontId="33" fillId="0" borderId="0" xfId="1" applyFont="1"/>
    <xf numFmtId="4" fontId="34" fillId="0" borderId="1" xfId="862" applyNumberFormat="1" applyBorder="1"/>
    <xf numFmtId="0" fontId="40" fillId="39" borderId="0" xfId="854" applyFont="1" applyFill="1" applyAlignment="1">
      <alignment vertical="center"/>
    </xf>
    <xf numFmtId="4" fontId="34" fillId="34" borderId="1" xfId="862" applyNumberFormat="1" applyFill="1" applyBorder="1"/>
    <xf numFmtId="10" fontId="0" fillId="0" borderId="0" xfId="853" applyNumberFormat="1" applyFont="1"/>
    <xf numFmtId="0" fontId="0" fillId="0" borderId="25" xfId="0" applyBorder="1" applyAlignment="1">
      <alignment horizontal="center" vertical="center"/>
    </xf>
    <xf numFmtId="4" fontId="34" fillId="37" borderId="1" xfId="862" applyNumberFormat="1" applyFill="1" applyBorder="1"/>
    <xf numFmtId="0" fontId="0" fillId="34" borderId="0" xfId="862" applyFont="1" applyFill="1"/>
    <xf numFmtId="43" fontId="38" fillId="34" borderId="1" xfId="840" applyFont="1" applyFill="1" applyBorder="1"/>
    <xf numFmtId="43" fontId="38" fillId="34" borderId="1" xfId="863" applyFont="1" applyFill="1" applyBorder="1"/>
    <xf numFmtId="0" fontId="2" fillId="0" borderId="0" xfId="1" applyFont="1" applyAlignment="1">
      <alignment horizontal="left"/>
    </xf>
    <xf numFmtId="43" fontId="0" fillId="34" borderId="1" xfId="840" applyFont="1" applyFill="1" applyBorder="1"/>
    <xf numFmtId="43" fontId="22" fillId="0" borderId="0" xfId="840" applyFont="1" applyAlignment="1">
      <alignment horizontal="center" wrapText="1"/>
    </xf>
    <xf numFmtId="43" fontId="22" fillId="0" borderId="0" xfId="840" applyFont="1" applyBorder="1" applyAlignment="1">
      <alignment horizontal="center" wrapText="1"/>
    </xf>
    <xf numFmtId="43" fontId="22" fillId="0" borderId="0" xfId="840" applyFont="1"/>
    <xf numFmtId="217" fontId="1" fillId="0" borderId="0" xfId="840" applyNumberFormat="1" applyFont="1"/>
    <xf numFmtId="218" fontId="1" fillId="0" borderId="0" xfId="840" applyNumberFormat="1" applyFont="1"/>
    <xf numFmtId="43" fontId="34" fillId="37" borderId="0" xfId="840" applyFill="1"/>
    <xf numFmtId="0" fontId="38" fillId="0" borderId="0" xfId="0" applyFont="1"/>
    <xf numFmtId="43" fontId="38" fillId="0" borderId="0" xfId="840" applyFont="1"/>
    <xf numFmtId="0" fontId="38" fillId="0" borderId="1" xfId="0" applyFont="1" applyBorder="1" applyAlignment="1">
      <alignment horizontal="center"/>
    </xf>
    <xf numFmtId="215" fontId="0" fillId="0" borderId="1" xfId="0" applyNumberFormat="1" applyBorder="1"/>
    <xf numFmtId="0" fontId="0" fillId="37" borderId="0" xfId="0" applyFill="1"/>
    <xf numFmtId="215" fontId="0" fillId="37" borderId="1" xfId="0" applyNumberFormat="1" applyFill="1" applyBorder="1"/>
    <xf numFmtId="43" fontId="0" fillId="37" borderId="1" xfId="840" applyFont="1" applyFill="1" applyBorder="1"/>
    <xf numFmtId="43" fontId="0" fillId="37" borderId="1" xfId="0" applyNumberFormat="1" applyFill="1" applyBorder="1"/>
    <xf numFmtId="0" fontId="0" fillId="37" borderId="1" xfId="0" applyFill="1" applyBorder="1"/>
    <xf numFmtId="215" fontId="0" fillId="34" borderId="1" xfId="0" applyNumberFormat="1" applyFill="1" applyBorder="1"/>
    <xf numFmtId="0" fontId="0" fillId="34" borderId="1" xfId="0" applyFill="1" applyBorder="1"/>
    <xf numFmtId="43" fontId="0" fillId="34" borderId="1" xfId="0" applyNumberFormat="1" applyFill="1" applyBorder="1"/>
    <xf numFmtId="43" fontId="0" fillId="37" borderId="0" xfId="0" applyNumberFormat="1" applyFill="1"/>
    <xf numFmtId="0" fontId="38" fillId="0" borderId="1" xfId="0" applyFont="1" applyBorder="1"/>
    <xf numFmtId="43" fontId="38" fillId="0" borderId="1" xfId="840" applyFont="1" applyBorder="1"/>
    <xf numFmtId="43" fontId="38" fillId="0" borderId="1" xfId="0" applyNumberFormat="1" applyFont="1" applyBorder="1"/>
    <xf numFmtId="0" fontId="55" fillId="0" borderId="0" xfId="1" applyFont="1"/>
    <xf numFmtId="0" fontId="55" fillId="0" borderId="0" xfId="1" applyFont="1" applyAlignment="1">
      <alignment vertical="center" wrapText="1"/>
    </xf>
    <xf numFmtId="217" fontId="55" fillId="0" borderId="0" xfId="840" applyNumberFormat="1" applyFont="1"/>
    <xf numFmtId="0" fontId="0" fillId="34" borderId="0" xfId="0" applyFill="1"/>
    <xf numFmtId="0" fontId="57" fillId="0" borderId="0" xfId="0" applyFont="1"/>
    <xf numFmtId="215" fontId="57" fillId="0" borderId="1" xfId="0" applyNumberFormat="1" applyFont="1" applyBorder="1"/>
    <xf numFmtId="43" fontId="57" fillId="0" borderId="1" xfId="0" applyNumberFormat="1" applyFont="1" applyBorder="1"/>
    <xf numFmtId="43" fontId="57" fillId="0" borderId="1" xfId="840" applyFont="1" applyBorder="1"/>
    <xf numFmtId="0" fontId="58" fillId="0" borderId="0" xfId="0" applyFont="1"/>
    <xf numFmtId="215" fontId="58" fillId="0" borderId="1" xfId="0" applyNumberFormat="1" applyFont="1" applyBorder="1"/>
    <xf numFmtId="0" fontId="58" fillId="0" borderId="1" xfId="0" applyFont="1" applyBorder="1"/>
    <xf numFmtId="43" fontId="58" fillId="0" borderId="1" xfId="0" applyNumberFormat="1" applyFont="1" applyBorder="1"/>
    <xf numFmtId="43" fontId="58" fillId="0" borderId="1" xfId="840" applyFont="1" applyBorder="1"/>
    <xf numFmtId="0" fontId="2" fillId="0" borderId="0" xfId="1" applyFont="1"/>
    <xf numFmtId="0" fontId="59" fillId="0" borderId="0" xfId="1" applyFont="1" applyAlignment="1">
      <alignment horizontal="left" vertical="center" wrapText="1"/>
    </xf>
    <xf numFmtId="0" fontId="59" fillId="0" borderId="0" xfId="1" applyFont="1"/>
    <xf numFmtId="0" fontId="59" fillId="0" borderId="0" xfId="1" applyFont="1" applyAlignment="1">
      <alignment horizontal="center" vertical="top"/>
    </xf>
    <xf numFmtId="43" fontId="59" fillId="0" borderId="0" xfId="1" applyNumberFormat="1" applyFont="1"/>
    <xf numFmtId="0" fontId="60" fillId="0" borderId="0" xfId="0" applyFont="1"/>
    <xf numFmtId="43" fontId="58" fillId="0" borderId="0" xfId="840" applyFont="1"/>
    <xf numFmtId="43" fontId="58" fillId="37" borderId="0" xfId="0" applyNumberFormat="1" applyFont="1" applyFill="1"/>
    <xf numFmtId="43" fontId="58" fillId="37" borderId="0" xfId="840" applyFont="1" applyFill="1"/>
    <xf numFmtId="43" fontId="57" fillId="0" borderId="0" xfId="840" applyFont="1"/>
    <xf numFmtId="43" fontId="57" fillId="34" borderId="0" xfId="840" applyFont="1" applyFill="1"/>
    <xf numFmtId="43" fontId="57" fillId="37" borderId="0" xfId="840" applyFont="1" applyFill="1"/>
    <xf numFmtId="43" fontId="57" fillId="37" borderId="0" xfId="0" applyNumberFormat="1" applyFont="1" applyFill="1"/>
    <xf numFmtId="212" fontId="22" fillId="37" borderId="1" xfId="842" applyNumberFormat="1" applyFill="1" applyBorder="1" applyAlignment="1">
      <alignment horizontal="center" vertical="center"/>
    </xf>
    <xf numFmtId="0" fontId="61" fillId="0" borderId="0" xfId="892"/>
    <xf numFmtId="0" fontId="65" fillId="41" borderId="45" xfId="892" applyFont="1" applyFill="1" applyBorder="1" applyAlignment="1">
      <alignment horizontal="center" vertical="top" wrapText="1"/>
    </xf>
    <xf numFmtId="0" fontId="66" fillId="0" borderId="45" xfId="892" applyFont="1" applyBorder="1" applyAlignment="1">
      <alignment horizontal="left" vertical="top" wrapText="1"/>
    </xf>
    <xf numFmtId="0" fontId="61" fillId="0" borderId="45" xfId="892" applyBorder="1" applyAlignment="1">
      <alignment vertical="top" wrapText="1"/>
    </xf>
    <xf numFmtId="0" fontId="66" fillId="37" borderId="45" xfId="892" applyFont="1" applyFill="1" applyBorder="1" applyAlignment="1">
      <alignment horizontal="left" vertical="top" wrapText="1"/>
    </xf>
    <xf numFmtId="0" fontId="61" fillId="37" borderId="45" xfId="892" applyFill="1" applyBorder="1" applyAlignment="1">
      <alignment vertical="top" wrapText="1"/>
    </xf>
    <xf numFmtId="0" fontId="61" fillId="37" borderId="0" xfId="892" applyFill="1"/>
    <xf numFmtId="4" fontId="61" fillId="0" borderId="0" xfId="892" applyNumberFormat="1"/>
    <xf numFmtId="4" fontId="61" fillId="37" borderId="0" xfId="892" applyNumberFormat="1" applyFill="1"/>
    <xf numFmtId="0" fontId="68" fillId="0" borderId="45" xfId="892" applyFont="1" applyBorder="1" applyAlignment="1">
      <alignment horizontal="left" vertical="top" wrapText="1"/>
    </xf>
    <xf numFmtId="0" fontId="69" fillId="0" borderId="45" xfId="892" applyFont="1" applyBorder="1" applyAlignment="1">
      <alignment vertical="top" wrapText="1"/>
    </xf>
    <xf numFmtId="0" fontId="69" fillId="0" borderId="0" xfId="892" applyFont="1"/>
    <xf numFmtId="4" fontId="69" fillId="0" borderId="0" xfId="892" applyNumberFormat="1" applyFont="1"/>
    <xf numFmtId="0" fontId="22" fillId="37" borderId="1" xfId="842" applyFill="1" applyBorder="1"/>
    <xf numFmtId="4" fontId="22" fillId="37" borderId="1" xfId="842" applyNumberFormat="1" applyFill="1" applyBorder="1"/>
    <xf numFmtId="0" fontId="56" fillId="0" borderId="0" xfId="891"/>
    <xf numFmtId="0" fontId="73" fillId="41" borderId="45" xfId="891" applyFont="1" applyFill="1" applyBorder="1" applyAlignment="1">
      <alignment horizontal="center" vertical="top" wrapText="1"/>
    </xf>
    <xf numFmtId="0" fontId="74" fillId="0" borderId="45" xfId="891" applyFont="1" applyBorder="1" applyAlignment="1">
      <alignment horizontal="left" vertical="top" wrapText="1"/>
    </xf>
    <xf numFmtId="0" fontId="56" fillId="0" borderId="45" xfId="891" applyBorder="1" applyAlignment="1">
      <alignment vertical="top" wrapText="1"/>
    </xf>
    <xf numFmtId="0" fontId="74" fillId="37" borderId="45" xfId="891" applyFont="1" applyFill="1" applyBorder="1" applyAlignment="1">
      <alignment horizontal="left" vertical="top" wrapText="1"/>
    </xf>
    <xf numFmtId="0" fontId="56" fillId="37" borderId="45" xfId="891" applyFill="1" applyBorder="1" applyAlignment="1">
      <alignment vertical="top" wrapText="1"/>
    </xf>
    <xf numFmtId="0" fontId="56" fillId="37" borderId="0" xfId="891" applyFill="1"/>
    <xf numFmtId="4" fontId="56" fillId="37" borderId="0" xfId="891" applyNumberFormat="1" applyFill="1"/>
    <xf numFmtId="0" fontId="68" fillId="0" borderId="45" xfId="891" applyFont="1" applyBorder="1" applyAlignment="1">
      <alignment horizontal="left" vertical="top" wrapText="1"/>
    </xf>
    <xf numFmtId="0" fontId="69" fillId="0" borderId="45" xfId="891" applyFont="1" applyBorder="1" applyAlignment="1">
      <alignment vertical="top" wrapText="1"/>
    </xf>
    <xf numFmtId="4" fontId="69" fillId="0" borderId="0" xfId="891" applyNumberFormat="1" applyFont="1"/>
    <xf numFmtId="0" fontId="69" fillId="0" borderId="0" xfId="891" applyFont="1"/>
    <xf numFmtId="218" fontId="22" fillId="0" borderId="0" xfId="842" applyNumberFormat="1"/>
    <xf numFmtId="0" fontId="55" fillId="0" borderId="0" xfId="1" applyFont="1" applyAlignment="1">
      <alignment horizontal="left"/>
    </xf>
    <xf numFmtId="0" fontId="32" fillId="0" borderId="0" xfId="1" applyFont="1" applyAlignment="1">
      <alignment horizontal="left" vertical="center" wrapText="1"/>
    </xf>
    <xf numFmtId="0" fontId="1" fillId="40" borderId="1" xfId="1" applyFill="1" applyBorder="1" applyAlignment="1">
      <alignment horizontal="center" vertical="center" wrapText="1"/>
    </xf>
    <xf numFmtId="0" fontId="1" fillId="40" borderId="1" xfId="1" applyFill="1" applyBorder="1" applyAlignment="1">
      <alignment horizontal="center" wrapText="1"/>
    </xf>
    <xf numFmtId="0" fontId="1" fillId="40" borderId="5" xfId="1" applyFill="1" applyBorder="1" applyAlignment="1">
      <alignment horizontal="center" vertical="center" wrapText="1"/>
    </xf>
    <xf numFmtId="0" fontId="1" fillId="40" borderId="7" xfId="1" applyFill="1" applyBorder="1" applyAlignment="1">
      <alignment horizontal="center" vertical="center" wrapText="1"/>
    </xf>
    <xf numFmtId="0" fontId="1" fillId="40" borderId="10" xfId="1" applyFill="1" applyBorder="1" applyAlignment="1">
      <alignment horizontal="center" vertical="center" wrapText="1"/>
    </xf>
    <xf numFmtId="0" fontId="5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 applyAlignment="1">
      <alignment horizontal="center" wrapText="1"/>
    </xf>
    <xf numFmtId="0" fontId="32" fillId="40" borderId="2" xfId="1" applyFont="1" applyFill="1" applyBorder="1" applyAlignment="1">
      <alignment horizontal="center" vertical="center" wrapText="1"/>
    </xf>
    <xf numFmtId="0" fontId="32" fillId="40" borderId="0" xfId="1" applyFont="1" applyFill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59" fillId="0" borderId="0" xfId="1" applyFont="1" applyAlignment="1">
      <alignment horizontal="center"/>
    </xf>
    <xf numFmtId="0" fontId="59" fillId="0" borderId="0" xfId="1" applyFont="1" applyAlignment="1">
      <alignment horizontal="center" vertical="top"/>
    </xf>
    <xf numFmtId="215" fontId="34" fillId="0" borderId="0" xfId="862" applyNumberFormat="1" applyAlignment="1">
      <alignment horizontal="center"/>
    </xf>
    <xf numFmtId="215" fontId="38" fillId="0" borderId="0" xfId="862" applyNumberFormat="1" applyFont="1" applyAlignment="1">
      <alignment horizontal="center"/>
    </xf>
    <xf numFmtId="0" fontId="36" fillId="35" borderId="0" xfId="837" applyFont="1" applyFill="1" applyAlignment="1">
      <alignment horizontal="center" vertical="center"/>
    </xf>
    <xf numFmtId="183" fontId="33" fillId="36" borderId="0" xfId="841" applyNumberFormat="1" applyFont="1" applyFill="1" applyAlignment="1" applyProtection="1">
      <alignment horizontal="center" wrapText="1"/>
      <protection locked="0"/>
    </xf>
    <xf numFmtId="0" fontId="22" fillId="0" borderId="1" xfId="842" applyBorder="1" applyAlignment="1">
      <alignment horizontal="center" vertical="center" wrapText="1"/>
    </xf>
    <xf numFmtId="0" fontId="1" fillId="0" borderId="1" xfId="842" applyFont="1" applyBorder="1" applyAlignment="1">
      <alignment horizontal="center" vertical="center" wrapText="1"/>
    </xf>
    <xf numFmtId="49" fontId="22" fillId="0" borderId="0" xfId="724" applyNumberFormat="1" applyFont="1" applyAlignment="1">
      <alignment horizontal="center" vertical="center" wrapText="1"/>
    </xf>
    <xf numFmtId="49" fontId="1" fillId="0" borderId="0" xfId="724" applyNumberFormat="1" applyAlignment="1">
      <alignment horizontal="center" vertical="center" wrapText="1"/>
    </xf>
    <xf numFmtId="0" fontId="2" fillId="0" borderId="0" xfId="724" applyFont="1" applyAlignment="1">
      <alignment horizontal="center" wrapText="1"/>
    </xf>
    <xf numFmtId="0" fontId="2" fillId="0" borderId="0" xfId="724" applyFont="1" applyAlignment="1">
      <alignment horizontal="center"/>
    </xf>
    <xf numFmtId="43" fontId="22" fillId="0" borderId="0" xfId="724" applyNumberFormat="1" applyFont="1" applyAlignment="1">
      <alignment horizontal="center"/>
    </xf>
    <xf numFmtId="0" fontId="1" fillId="0" borderId="0" xfId="724" applyAlignment="1">
      <alignment horizontal="center"/>
    </xf>
    <xf numFmtId="49" fontId="1" fillId="0" borderId="5" xfId="724" applyNumberFormat="1" applyBorder="1" applyAlignment="1">
      <alignment horizontal="center" vertical="center" wrapText="1"/>
    </xf>
    <xf numFmtId="49" fontId="1" fillId="0" borderId="7" xfId="724" applyNumberFormat="1" applyBorder="1" applyAlignment="1">
      <alignment horizontal="center" vertical="center" wrapText="1"/>
    </xf>
    <xf numFmtId="49" fontId="1" fillId="0" borderId="10" xfId="724" applyNumberFormat="1" applyBorder="1" applyAlignment="1">
      <alignment horizontal="center" vertical="center" wrapText="1"/>
    </xf>
    <xf numFmtId="0" fontId="22" fillId="0" borderId="0" xfId="724" applyFont="1" applyAlignment="1">
      <alignment horizontal="center"/>
    </xf>
    <xf numFmtId="0" fontId="32" fillId="0" borderId="1" xfId="724" applyFont="1" applyBorder="1" applyAlignment="1">
      <alignment horizontal="center" vertical="top"/>
    </xf>
    <xf numFmtId="49" fontId="32" fillId="0" borderId="1" xfId="724" applyNumberFormat="1" applyFont="1" applyBorder="1" applyAlignment="1">
      <alignment horizontal="center" vertical="center" wrapText="1"/>
    </xf>
    <xf numFmtId="0" fontId="32" fillId="0" borderId="6" xfId="724" applyFont="1" applyBorder="1" applyAlignment="1">
      <alignment horizontal="center" vertical="top" wrapText="1"/>
    </xf>
    <xf numFmtId="0" fontId="32" fillId="0" borderId="10" xfId="724" applyFont="1" applyBorder="1" applyAlignment="1">
      <alignment horizontal="center" vertical="top" wrapText="1"/>
    </xf>
    <xf numFmtId="0" fontId="39" fillId="0" borderId="0" xfId="0" applyFont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0" fillId="0" borderId="0" xfId="0" applyAlignment="1">
      <alignment horizontal="center"/>
    </xf>
    <xf numFmtId="0" fontId="38" fillId="0" borderId="22" xfId="0" applyFont="1" applyBorder="1" applyAlignment="1">
      <alignment horizontal="center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/>
    </xf>
    <xf numFmtId="0" fontId="38" fillId="0" borderId="41" xfId="0" applyFont="1" applyBorder="1" applyAlignment="1">
      <alignment horizontal="center"/>
    </xf>
    <xf numFmtId="0" fontId="1" fillId="40" borderId="6" xfId="1" applyFill="1" applyBorder="1" applyAlignment="1">
      <alignment horizontal="center" vertical="center" wrapText="1"/>
    </xf>
    <xf numFmtId="0" fontId="1" fillId="40" borderId="3" xfId="1" applyFill="1" applyBorder="1" applyAlignment="1">
      <alignment horizontal="center" vertical="center" wrapText="1"/>
    </xf>
    <xf numFmtId="0" fontId="1" fillId="40" borderId="2" xfId="1" applyFill="1" applyBorder="1" applyAlignment="1">
      <alignment horizontal="center" vertical="center" wrapText="1"/>
    </xf>
    <xf numFmtId="0" fontId="1" fillId="40" borderId="0" xfId="1" applyFill="1" applyAlignment="1">
      <alignment horizontal="center" vertical="center" wrapText="1"/>
    </xf>
    <xf numFmtId="0" fontId="1" fillId="40" borderId="8" xfId="1" applyFill="1" applyBorder="1" applyAlignment="1">
      <alignment horizontal="center" vertical="center" wrapText="1"/>
    </xf>
    <xf numFmtId="0" fontId="1" fillId="40" borderId="4" xfId="1" applyFill="1" applyBorder="1" applyAlignment="1">
      <alignment horizontal="center" vertical="center" wrapText="1"/>
    </xf>
    <xf numFmtId="0" fontId="1" fillId="0" borderId="0" xfId="1" applyAlignment="1">
      <alignment horizontal="center" vertical="top"/>
    </xf>
    <xf numFmtId="0" fontId="40" fillId="39" borderId="0" xfId="854" applyFont="1" applyFill="1" applyAlignment="1">
      <alignment horizontal="center" vertical="center"/>
    </xf>
    <xf numFmtId="183" fontId="33" fillId="36" borderId="0" xfId="855" applyFont="1" applyFill="1" applyAlignment="1" applyProtection="1">
      <alignment horizontal="center" wrapText="1"/>
      <protection locked="0"/>
    </xf>
    <xf numFmtId="0" fontId="43" fillId="0" borderId="0" xfId="857" applyFont="1" applyAlignment="1">
      <alignment horizontal="center" wrapText="1"/>
    </xf>
    <xf numFmtId="183" fontId="33" fillId="36" borderId="0" xfId="855" applyFont="1" applyFill="1" applyAlignment="1" applyProtection="1">
      <alignment horizontal="center"/>
      <protection locked="0"/>
    </xf>
    <xf numFmtId="3" fontId="44" fillId="0" borderId="0" xfId="855" applyNumberFormat="1" applyFont="1" applyFill="1" applyAlignment="1">
      <alignment horizontal="left"/>
    </xf>
    <xf numFmtId="3" fontId="43" fillId="0" borderId="43" xfId="857" applyNumberFormat="1" applyFont="1" applyBorder="1" applyAlignment="1">
      <alignment horizontal="left"/>
    </xf>
    <xf numFmtId="3" fontId="44" fillId="0" borderId="0" xfId="857" applyNumberFormat="1" applyFont="1" applyAlignment="1">
      <alignment horizontal="left" indent="1"/>
    </xf>
    <xf numFmtId="183" fontId="44" fillId="0" borderId="0" xfId="855" applyFont="1" applyFill="1"/>
    <xf numFmtId="3" fontId="43" fillId="0" borderId="43" xfId="856" applyNumberFormat="1" applyFont="1" applyBorder="1" applyAlignment="1">
      <alignment horizontal="left" vertical="center" wrapText="1"/>
    </xf>
    <xf numFmtId="0" fontId="61" fillId="0" borderId="0" xfId="892" applyAlignment="1">
      <alignment horizontal="left" vertical="top" wrapText="1"/>
    </xf>
    <xf numFmtId="0" fontId="62" fillId="0" borderId="0" xfId="892" applyFont="1" applyAlignment="1">
      <alignment horizontal="right" vertical="top" wrapText="1"/>
    </xf>
    <xf numFmtId="0" fontId="63" fillId="0" borderId="0" xfId="892" applyFont="1" applyAlignment="1">
      <alignment horizontal="center" indent="1"/>
    </xf>
    <xf numFmtId="0" fontId="64" fillId="0" borderId="0" xfId="892" applyFont="1" applyAlignment="1">
      <alignment horizontal="center" indent="1"/>
    </xf>
    <xf numFmtId="0" fontId="64" fillId="0" borderId="0" xfId="892" applyFont="1" applyAlignment="1">
      <alignment horizontal="left" indent="1"/>
    </xf>
    <xf numFmtId="0" fontId="66" fillId="0" borderId="46" xfId="892" applyFont="1" applyBorder="1" applyAlignment="1">
      <alignment horizontal="left" vertical="top" wrapText="1"/>
    </xf>
    <xf numFmtId="0" fontId="66" fillId="0" borderId="47" xfId="892" applyFont="1" applyBorder="1" applyAlignment="1">
      <alignment horizontal="left" vertical="top" wrapText="1"/>
    </xf>
    <xf numFmtId="4" fontId="66" fillId="0" borderId="46" xfId="892" applyNumberFormat="1" applyFont="1" applyBorder="1" applyAlignment="1">
      <alignment horizontal="right" vertical="top" wrapText="1"/>
    </xf>
    <xf numFmtId="4" fontId="66" fillId="0" borderId="48" xfId="892" applyNumberFormat="1" applyFont="1" applyBorder="1" applyAlignment="1">
      <alignment horizontal="right" vertical="top" wrapText="1"/>
    </xf>
    <xf numFmtId="4" fontId="66" fillId="0" borderId="47" xfId="892" applyNumberFormat="1" applyFont="1" applyBorder="1" applyAlignment="1">
      <alignment horizontal="right" vertical="top" wrapText="1"/>
    </xf>
    <xf numFmtId="0" fontId="65" fillId="41" borderId="46" xfId="892" applyFont="1" applyFill="1" applyBorder="1" applyAlignment="1">
      <alignment horizontal="center" vertical="top" wrapText="1"/>
    </xf>
    <xf numFmtId="0" fontId="65" fillId="41" borderId="47" xfId="892" applyFont="1" applyFill="1" applyBorder="1" applyAlignment="1">
      <alignment horizontal="center" vertical="top" wrapText="1"/>
    </xf>
    <xf numFmtId="0" fontId="65" fillId="41" borderId="48" xfId="892" applyFont="1" applyFill="1" applyBorder="1" applyAlignment="1">
      <alignment horizontal="center" vertical="top" wrapText="1"/>
    </xf>
    <xf numFmtId="0" fontId="66" fillId="37" borderId="46" xfId="892" applyFont="1" applyFill="1" applyBorder="1" applyAlignment="1">
      <alignment horizontal="left" vertical="top" wrapText="1"/>
    </xf>
    <xf numFmtId="0" fontId="66" fillId="37" borderId="47" xfId="892" applyFont="1" applyFill="1" applyBorder="1" applyAlignment="1">
      <alignment horizontal="left" vertical="top" wrapText="1"/>
    </xf>
    <xf numFmtId="4" fontId="66" fillId="37" borderId="46" xfId="892" applyNumberFormat="1" applyFont="1" applyFill="1" applyBorder="1" applyAlignment="1">
      <alignment horizontal="right" vertical="top" wrapText="1"/>
    </xf>
    <xf numFmtId="4" fontId="66" fillId="37" borderId="48" xfId="892" applyNumberFormat="1" applyFont="1" applyFill="1" applyBorder="1" applyAlignment="1">
      <alignment horizontal="right" vertical="top" wrapText="1"/>
    </xf>
    <xf numFmtId="4" fontId="66" fillId="37" borderId="47" xfId="892" applyNumberFormat="1" applyFont="1" applyFill="1" applyBorder="1" applyAlignment="1">
      <alignment horizontal="right" vertical="top" wrapText="1"/>
    </xf>
    <xf numFmtId="0" fontId="68" fillId="0" borderId="46" xfId="892" applyFont="1" applyBorder="1" applyAlignment="1">
      <alignment horizontal="left" vertical="top" wrapText="1"/>
    </xf>
    <xf numFmtId="0" fontId="68" fillId="0" borderId="47" xfId="892" applyFont="1" applyBorder="1" applyAlignment="1">
      <alignment horizontal="left" vertical="top" wrapText="1"/>
    </xf>
    <xf numFmtId="4" fontId="68" fillId="0" borderId="46" xfId="892" applyNumberFormat="1" applyFont="1" applyBorder="1" applyAlignment="1">
      <alignment horizontal="right" vertical="top" wrapText="1"/>
    </xf>
    <xf numFmtId="4" fontId="68" fillId="0" borderId="48" xfId="892" applyNumberFormat="1" applyFont="1" applyBorder="1" applyAlignment="1">
      <alignment horizontal="right" vertical="top" wrapText="1"/>
    </xf>
    <xf numFmtId="4" fontId="68" fillId="0" borderId="47" xfId="892" applyNumberFormat="1" applyFont="1" applyBorder="1" applyAlignment="1">
      <alignment horizontal="right" vertical="top" wrapText="1"/>
    </xf>
    <xf numFmtId="0" fontId="61" fillId="0" borderId="46" xfId="892" applyBorder="1" applyAlignment="1">
      <alignment vertical="top" wrapText="1"/>
    </xf>
    <xf numFmtId="0" fontId="61" fillId="0" borderId="47" xfId="892" applyBorder="1" applyAlignment="1">
      <alignment vertical="top" wrapText="1"/>
    </xf>
    <xf numFmtId="0" fontId="61" fillId="0" borderId="0" xfId="892" applyAlignment="1">
      <alignment horizontal="left" indent="1"/>
    </xf>
    <xf numFmtId="0" fontId="67" fillId="0" borderId="0" xfId="892" applyFont="1" applyAlignment="1">
      <alignment horizontal="left" indent="1"/>
    </xf>
    <xf numFmtId="0" fontId="72" fillId="0" borderId="0" xfId="891" applyFont="1" applyAlignment="1">
      <alignment horizontal="left" indent="1"/>
    </xf>
    <xf numFmtId="0" fontId="73" fillId="41" borderId="46" xfId="891" applyFont="1" applyFill="1" applyBorder="1" applyAlignment="1">
      <alignment horizontal="center" vertical="top" wrapText="1"/>
    </xf>
    <xf numFmtId="0" fontId="73" fillId="41" borderId="47" xfId="891" applyFont="1" applyFill="1" applyBorder="1" applyAlignment="1">
      <alignment horizontal="center" vertical="top" wrapText="1"/>
    </xf>
    <xf numFmtId="0" fontId="73" fillId="41" borderId="48" xfId="891" applyFont="1" applyFill="1" applyBorder="1" applyAlignment="1">
      <alignment horizontal="center" vertical="top" wrapText="1"/>
    </xf>
    <xf numFmtId="0" fontId="74" fillId="0" borderId="46" xfId="891" applyFont="1" applyBorder="1" applyAlignment="1">
      <alignment horizontal="left" vertical="top" wrapText="1"/>
    </xf>
    <xf numFmtId="0" fontId="74" fillId="0" borderId="47" xfId="891" applyFont="1" applyBorder="1" applyAlignment="1">
      <alignment horizontal="left" vertical="top" wrapText="1"/>
    </xf>
    <xf numFmtId="4" fontId="74" fillId="0" borderId="46" xfId="891" applyNumberFormat="1" applyFont="1" applyBorder="1" applyAlignment="1">
      <alignment horizontal="right" vertical="top" wrapText="1"/>
    </xf>
    <xf numFmtId="4" fontId="74" fillId="0" borderId="48" xfId="891" applyNumberFormat="1" applyFont="1" applyBorder="1" applyAlignment="1">
      <alignment horizontal="right" vertical="top" wrapText="1"/>
    </xf>
    <xf numFmtId="4" fontId="74" fillId="0" borderId="47" xfId="891" applyNumberFormat="1" applyFont="1" applyBorder="1" applyAlignment="1">
      <alignment horizontal="right" vertical="top" wrapText="1"/>
    </xf>
    <xf numFmtId="0" fontId="56" fillId="0" borderId="0" xfId="891" applyAlignment="1">
      <alignment horizontal="left" vertical="top" wrapText="1"/>
    </xf>
    <xf numFmtId="0" fontId="70" fillId="0" borderId="0" xfId="891" applyFont="1" applyAlignment="1">
      <alignment horizontal="right" vertical="top" wrapText="1"/>
    </xf>
    <xf numFmtId="0" fontId="71" fillId="0" borderId="0" xfId="891" applyFont="1" applyAlignment="1">
      <alignment horizontal="center" indent="1"/>
    </xf>
    <xf numFmtId="0" fontId="72" fillId="0" borderId="0" xfId="891" applyFont="1" applyAlignment="1">
      <alignment horizontal="center" indent="1"/>
    </xf>
    <xf numFmtId="0" fontId="74" fillId="37" borderId="46" xfId="891" applyFont="1" applyFill="1" applyBorder="1" applyAlignment="1">
      <alignment horizontal="left" vertical="top" wrapText="1"/>
    </xf>
    <xf numFmtId="0" fontId="74" fillId="37" borderId="47" xfId="891" applyFont="1" applyFill="1" applyBorder="1" applyAlignment="1">
      <alignment horizontal="left" vertical="top" wrapText="1"/>
    </xf>
    <xf numFmtId="4" fontId="74" fillId="37" borderId="46" xfId="891" applyNumberFormat="1" applyFont="1" applyFill="1" applyBorder="1" applyAlignment="1">
      <alignment horizontal="right" vertical="top" wrapText="1"/>
    </xf>
    <xf numFmtId="4" fontId="74" fillId="37" borderId="48" xfId="891" applyNumberFormat="1" applyFont="1" applyFill="1" applyBorder="1" applyAlignment="1">
      <alignment horizontal="right" vertical="top" wrapText="1"/>
    </xf>
    <xf numFmtId="4" fontId="74" fillId="37" borderId="47" xfId="891" applyNumberFormat="1" applyFont="1" applyFill="1" applyBorder="1" applyAlignment="1">
      <alignment horizontal="right" vertical="top" wrapText="1"/>
    </xf>
    <xf numFmtId="0" fontId="56" fillId="0" borderId="46" xfId="891" applyBorder="1" applyAlignment="1">
      <alignment vertical="top" wrapText="1"/>
    </xf>
    <xf numFmtId="0" fontId="56" fillId="0" borderId="47" xfId="891" applyBorder="1" applyAlignment="1">
      <alignment vertical="top" wrapText="1"/>
    </xf>
    <xf numFmtId="0" fontId="56" fillId="0" borderId="0" xfId="891" applyAlignment="1">
      <alignment horizontal="left" indent="1"/>
    </xf>
    <xf numFmtId="0" fontId="75" fillId="0" borderId="0" xfId="891" applyFont="1" applyAlignment="1">
      <alignment horizontal="left" indent="1"/>
    </xf>
    <xf numFmtId="0" fontId="68" fillId="0" borderId="46" xfId="891" applyFont="1" applyBorder="1" applyAlignment="1">
      <alignment horizontal="left" vertical="top" wrapText="1"/>
    </xf>
    <xf numFmtId="0" fontId="68" fillId="0" borderId="47" xfId="891" applyFont="1" applyBorder="1" applyAlignment="1">
      <alignment horizontal="left" vertical="top" wrapText="1"/>
    </xf>
    <xf numFmtId="4" fontId="68" fillId="0" borderId="46" xfId="891" applyNumberFormat="1" applyFont="1" applyBorder="1" applyAlignment="1">
      <alignment horizontal="right" vertical="top" wrapText="1"/>
    </xf>
    <xf numFmtId="4" fontId="68" fillId="0" borderId="47" xfId="891" applyNumberFormat="1" applyFont="1" applyBorder="1" applyAlignment="1">
      <alignment horizontal="right" vertical="top" wrapText="1"/>
    </xf>
    <xf numFmtId="164" fontId="1" fillId="0" borderId="0" xfId="1" applyNumberFormat="1"/>
  </cellXfs>
  <cellStyles count="893">
    <cellStyle name="? BP" xfId="3" xr:uid="{00000000-0005-0000-0000-000000000000}"/>
    <cellStyle name="? JY" xfId="4" xr:uid="{00000000-0005-0000-0000-000001000000}"/>
    <cellStyle name="£ BP" xfId="5" xr:uid="{00000000-0005-0000-0000-000002000000}"/>
    <cellStyle name="¥ JY" xfId="6" xr:uid="{00000000-0005-0000-0000-000003000000}"/>
    <cellStyle name="20% - Accent1 10" xfId="7" xr:uid="{00000000-0005-0000-0000-000004000000}"/>
    <cellStyle name="20% - Accent1 11" xfId="8" xr:uid="{00000000-0005-0000-0000-000005000000}"/>
    <cellStyle name="20% - Accent1 12" xfId="9" xr:uid="{00000000-0005-0000-0000-000006000000}"/>
    <cellStyle name="20% - Accent1 2" xfId="10" xr:uid="{00000000-0005-0000-0000-000007000000}"/>
    <cellStyle name="20% - Accent1 2 2" xfId="11" xr:uid="{00000000-0005-0000-0000-000008000000}"/>
    <cellStyle name="20% - Accent1 2 3" xfId="12" xr:uid="{00000000-0005-0000-0000-000009000000}"/>
    <cellStyle name="20% - Accent1 2_situație reabilitare termica - sectorul 1" xfId="13" xr:uid="{00000000-0005-0000-0000-00000A000000}"/>
    <cellStyle name="20% - Accent1 3" xfId="14" xr:uid="{00000000-0005-0000-0000-00000B000000}"/>
    <cellStyle name="20% - Accent1 3 2" xfId="15" xr:uid="{00000000-0005-0000-0000-00000C000000}"/>
    <cellStyle name="20% - Accent1 3 3" xfId="16" xr:uid="{00000000-0005-0000-0000-00000D000000}"/>
    <cellStyle name="20% - Accent1 3_situație reabilitare termica - sectorul 1" xfId="17" xr:uid="{00000000-0005-0000-0000-00000E000000}"/>
    <cellStyle name="20% - Accent1 4" xfId="18" xr:uid="{00000000-0005-0000-0000-00000F000000}"/>
    <cellStyle name="20% - Accent1 4 2" xfId="19" xr:uid="{00000000-0005-0000-0000-000010000000}"/>
    <cellStyle name="20% - Accent1 4 3" xfId="20" xr:uid="{00000000-0005-0000-0000-000011000000}"/>
    <cellStyle name="20% - Accent1 4_situație reabilitare termica - sectorul 1" xfId="21" xr:uid="{00000000-0005-0000-0000-000012000000}"/>
    <cellStyle name="20% - Accent1 5" xfId="22" xr:uid="{00000000-0005-0000-0000-000013000000}"/>
    <cellStyle name="20% - Accent1 6" xfId="23" xr:uid="{00000000-0005-0000-0000-000014000000}"/>
    <cellStyle name="20% - Accent1 7" xfId="24" xr:uid="{00000000-0005-0000-0000-000015000000}"/>
    <cellStyle name="20% - Accent1 8" xfId="25" xr:uid="{00000000-0005-0000-0000-000016000000}"/>
    <cellStyle name="20% - Accent1 9" xfId="26" xr:uid="{00000000-0005-0000-0000-000017000000}"/>
    <cellStyle name="20% - Accent2 10" xfId="27" xr:uid="{00000000-0005-0000-0000-000018000000}"/>
    <cellStyle name="20% - Accent2 11" xfId="28" xr:uid="{00000000-0005-0000-0000-000019000000}"/>
    <cellStyle name="20% - Accent2 12" xfId="29" xr:uid="{00000000-0005-0000-0000-00001A000000}"/>
    <cellStyle name="20% - Accent2 2" xfId="30" xr:uid="{00000000-0005-0000-0000-00001B000000}"/>
    <cellStyle name="20% - Accent2 2 2" xfId="31" xr:uid="{00000000-0005-0000-0000-00001C000000}"/>
    <cellStyle name="20% - Accent2 2 3" xfId="32" xr:uid="{00000000-0005-0000-0000-00001D000000}"/>
    <cellStyle name="20% - Accent2 2_situație reabilitare termica - sectorul 1" xfId="33" xr:uid="{00000000-0005-0000-0000-00001E000000}"/>
    <cellStyle name="20% - Accent2 3" xfId="34" xr:uid="{00000000-0005-0000-0000-00001F000000}"/>
    <cellStyle name="20% - Accent2 3 2" xfId="35" xr:uid="{00000000-0005-0000-0000-000020000000}"/>
    <cellStyle name="20% - Accent2 3 3" xfId="36" xr:uid="{00000000-0005-0000-0000-000021000000}"/>
    <cellStyle name="20% - Accent2 3_situație reabilitare termica - sectorul 1" xfId="37" xr:uid="{00000000-0005-0000-0000-000022000000}"/>
    <cellStyle name="20% - Accent2 4" xfId="38" xr:uid="{00000000-0005-0000-0000-000023000000}"/>
    <cellStyle name="20% - Accent2 4 2" xfId="39" xr:uid="{00000000-0005-0000-0000-000024000000}"/>
    <cellStyle name="20% - Accent2 4 3" xfId="40" xr:uid="{00000000-0005-0000-0000-000025000000}"/>
    <cellStyle name="20% - Accent2 4_situație reabilitare termica - sectorul 1" xfId="41" xr:uid="{00000000-0005-0000-0000-000026000000}"/>
    <cellStyle name="20% - Accent2 5" xfId="42" xr:uid="{00000000-0005-0000-0000-000027000000}"/>
    <cellStyle name="20% - Accent2 6" xfId="43" xr:uid="{00000000-0005-0000-0000-000028000000}"/>
    <cellStyle name="20% - Accent2 7" xfId="44" xr:uid="{00000000-0005-0000-0000-000029000000}"/>
    <cellStyle name="20% - Accent2 8" xfId="45" xr:uid="{00000000-0005-0000-0000-00002A000000}"/>
    <cellStyle name="20% - Accent2 9" xfId="46" xr:uid="{00000000-0005-0000-0000-00002B000000}"/>
    <cellStyle name="20% - Accent3 10" xfId="47" xr:uid="{00000000-0005-0000-0000-00002C000000}"/>
    <cellStyle name="20% - Accent3 11" xfId="48" xr:uid="{00000000-0005-0000-0000-00002D000000}"/>
    <cellStyle name="20% - Accent3 12" xfId="49" xr:uid="{00000000-0005-0000-0000-00002E000000}"/>
    <cellStyle name="20% - Accent3 2" xfId="50" xr:uid="{00000000-0005-0000-0000-00002F000000}"/>
    <cellStyle name="20% - Accent3 2 2" xfId="51" xr:uid="{00000000-0005-0000-0000-000030000000}"/>
    <cellStyle name="20% - Accent3 2 3" xfId="52" xr:uid="{00000000-0005-0000-0000-000031000000}"/>
    <cellStyle name="20% - Accent3 2_situație reabilitare termica - sectorul 1" xfId="53" xr:uid="{00000000-0005-0000-0000-000032000000}"/>
    <cellStyle name="20% - Accent3 3" xfId="54" xr:uid="{00000000-0005-0000-0000-000033000000}"/>
    <cellStyle name="20% - Accent3 3 2" xfId="55" xr:uid="{00000000-0005-0000-0000-000034000000}"/>
    <cellStyle name="20% - Accent3 3 3" xfId="56" xr:uid="{00000000-0005-0000-0000-000035000000}"/>
    <cellStyle name="20% - Accent3 3_situație reabilitare termica - sectorul 1" xfId="57" xr:uid="{00000000-0005-0000-0000-000036000000}"/>
    <cellStyle name="20% - Accent3 4" xfId="58" xr:uid="{00000000-0005-0000-0000-000037000000}"/>
    <cellStyle name="20% - Accent3 4 2" xfId="59" xr:uid="{00000000-0005-0000-0000-000038000000}"/>
    <cellStyle name="20% - Accent3 4 3" xfId="60" xr:uid="{00000000-0005-0000-0000-000039000000}"/>
    <cellStyle name="20% - Accent3 4_situație reabilitare termica - sectorul 1" xfId="61" xr:uid="{00000000-0005-0000-0000-00003A000000}"/>
    <cellStyle name="20% - Accent3 5" xfId="62" xr:uid="{00000000-0005-0000-0000-00003B000000}"/>
    <cellStyle name="20% - Accent3 6" xfId="63" xr:uid="{00000000-0005-0000-0000-00003C000000}"/>
    <cellStyle name="20% - Accent3 7" xfId="64" xr:uid="{00000000-0005-0000-0000-00003D000000}"/>
    <cellStyle name="20% - Accent3 8" xfId="65" xr:uid="{00000000-0005-0000-0000-00003E000000}"/>
    <cellStyle name="20% - Accent3 9" xfId="66" xr:uid="{00000000-0005-0000-0000-00003F000000}"/>
    <cellStyle name="20% - Accent4 10" xfId="67" xr:uid="{00000000-0005-0000-0000-000040000000}"/>
    <cellStyle name="20% - Accent4 11" xfId="68" xr:uid="{00000000-0005-0000-0000-000041000000}"/>
    <cellStyle name="20% - Accent4 12" xfId="69" xr:uid="{00000000-0005-0000-0000-000042000000}"/>
    <cellStyle name="20% - Accent4 2" xfId="70" xr:uid="{00000000-0005-0000-0000-000043000000}"/>
    <cellStyle name="20% - Accent4 2 2" xfId="71" xr:uid="{00000000-0005-0000-0000-000044000000}"/>
    <cellStyle name="20% - Accent4 2 3" xfId="72" xr:uid="{00000000-0005-0000-0000-000045000000}"/>
    <cellStyle name="20% - Accent4 2_situație reabilitare termica - sectorul 1" xfId="73" xr:uid="{00000000-0005-0000-0000-000046000000}"/>
    <cellStyle name="20% - Accent4 3" xfId="74" xr:uid="{00000000-0005-0000-0000-000047000000}"/>
    <cellStyle name="20% - Accent4 3 2" xfId="75" xr:uid="{00000000-0005-0000-0000-000048000000}"/>
    <cellStyle name="20% - Accent4 3 3" xfId="76" xr:uid="{00000000-0005-0000-0000-000049000000}"/>
    <cellStyle name="20% - Accent4 3_situație reabilitare termica - sectorul 1" xfId="77" xr:uid="{00000000-0005-0000-0000-00004A000000}"/>
    <cellStyle name="20% - Accent4 4" xfId="78" xr:uid="{00000000-0005-0000-0000-00004B000000}"/>
    <cellStyle name="20% - Accent4 4 2" xfId="79" xr:uid="{00000000-0005-0000-0000-00004C000000}"/>
    <cellStyle name="20% - Accent4 4 3" xfId="80" xr:uid="{00000000-0005-0000-0000-00004D000000}"/>
    <cellStyle name="20% - Accent4 4_situație reabilitare termica - sectorul 1" xfId="81" xr:uid="{00000000-0005-0000-0000-00004E000000}"/>
    <cellStyle name="20% - Accent4 5" xfId="82" xr:uid="{00000000-0005-0000-0000-00004F000000}"/>
    <cellStyle name="20% - Accent4 6" xfId="83" xr:uid="{00000000-0005-0000-0000-000050000000}"/>
    <cellStyle name="20% - Accent4 7" xfId="84" xr:uid="{00000000-0005-0000-0000-000051000000}"/>
    <cellStyle name="20% - Accent4 8" xfId="85" xr:uid="{00000000-0005-0000-0000-000052000000}"/>
    <cellStyle name="20% - Accent4 9" xfId="86" xr:uid="{00000000-0005-0000-0000-000053000000}"/>
    <cellStyle name="20% - Accent5 10" xfId="87" xr:uid="{00000000-0005-0000-0000-000054000000}"/>
    <cellStyle name="20% - Accent5 11" xfId="88" xr:uid="{00000000-0005-0000-0000-000055000000}"/>
    <cellStyle name="20% - Accent5 12" xfId="89" xr:uid="{00000000-0005-0000-0000-000056000000}"/>
    <cellStyle name="20% - Accent5 2" xfId="90" xr:uid="{00000000-0005-0000-0000-000057000000}"/>
    <cellStyle name="20% - Accent5 2 2" xfId="91" xr:uid="{00000000-0005-0000-0000-000058000000}"/>
    <cellStyle name="20% - Accent5 2 3" xfId="92" xr:uid="{00000000-0005-0000-0000-000059000000}"/>
    <cellStyle name="20% - Accent5 2_situație reabilitare termica - sectorul 1" xfId="93" xr:uid="{00000000-0005-0000-0000-00005A000000}"/>
    <cellStyle name="20% - Accent5 3" xfId="94" xr:uid="{00000000-0005-0000-0000-00005B000000}"/>
    <cellStyle name="20% - Accent5 3 2" xfId="95" xr:uid="{00000000-0005-0000-0000-00005C000000}"/>
    <cellStyle name="20% - Accent5 3 3" xfId="96" xr:uid="{00000000-0005-0000-0000-00005D000000}"/>
    <cellStyle name="20% - Accent5 3_situație reabilitare termica - sectorul 1" xfId="97" xr:uid="{00000000-0005-0000-0000-00005E000000}"/>
    <cellStyle name="20% - Accent5 4" xfId="98" xr:uid="{00000000-0005-0000-0000-00005F000000}"/>
    <cellStyle name="20% - Accent5 4 2" xfId="99" xr:uid="{00000000-0005-0000-0000-000060000000}"/>
    <cellStyle name="20% - Accent5 4 3" xfId="100" xr:uid="{00000000-0005-0000-0000-000061000000}"/>
    <cellStyle name="20% - Accent5 4_situație reabilitare termica - sectorul 1" xfId="101" xr:uid="{00000000-0005-0000-0000-000062000000}"/>
    <cellStyle name="20% - Accent5 5" xfId="102" xr:uid="{00000000-0005-0000-0000-000063000000}"/>
    <cellStyle name="20% - Accent5 6" xfId="103" xr:uid="{00000000-0005-0000-0000-000064000000}"/>
    <cellStyle name="20% - Accent5 7" xfId="104" xr:uid="{00000000-0005-0000-0000-000065000000}"/>
    <cellStyle name="20% - Accent5 8" xfId="105" xr:uid="{00000000-0005-0000-0000-000066000000}"/>
    <cellStyle name="20% - Accent5 9" xfId="106" xr:uid="{00000000-0005-0000-0000-000067000000}"/>
    <cellStyle name="20% - Accent6 10" xfId="107" xr:uid="{00000000-0005-0000-0000-000068000000}"/>
    <cellStyle name="20% - Accent6 11" xfId="108" xr:uid="{00000000-0005-0000-0000-000069000000}"/>
    <cellStyle name="20% - Accent6 12" xfId="109" xr:uid="{00000000-0005-0000-0000-00006A000000}"/>
    <cellStyle name="20% - Accent6 2" xfId="110" xr:uid="{00000000-0005-0000-0000-00006B000000}"/>
    <cellStyle name="20% - Accent6 2 2" xfId="111" xr:uid="{00000000-0005-0000-0000-00006C000000}"/>
    <cellStyle name="20% - Accent6 2 3" xfId="112" xr:uid="{00000000-0005-0000-0000-00006D000000}"/>
    <cellStyle name="20% - Accent6 2_situație reabilitare termica - sectorul 1" xfId="113" xr:uid="{00000000-0005-0000-0000-00006E000000}"/>
    <cellStyle name="20% - Accent6 3" xfId="114" xr:uid="{00000000-0005-0000-0000-00006F000000}"/>
    <cellStyle name="20% - Accent6 3 2" xfId="115" xr:uid="{00000000-0005-0000-0000-000070000000}"/>
    <cellStyle name="20% - Accent6 3 3" xfId="116" xr:uid="{00000000-0005-0000-0000-000071000000}"/>
    <cellStyle name="20% - Accent6 3_situație reabilitare termica - sectorul 1" xfId="117" xr:uid="{00000000-0005-0000-0000-000072000000}"/>
    <cellStyle name="20% - Accent6 4" xfId="118" xr:uid="{00000000-0005-0000-0000-000073000000}"/>
    <cellStyle name="20% - Accent6 4 2" xfId="119" xr:uid="{00000000-0005-0000-0000-000074000000}"/>
    <cellStyle name="20% - Accent6 4 3" xfId="120" xr:uid="{00000000-0005-0000-0000-000075000000}"/>
    <cellStyle name="20% - Accent6 4_situație reabilitare termica - sectorul 1" xfId="121" xr:uid="{00000000-0005-0000-0000-000076000000}"/>
    <cellStyle name="20% - Accent6 5" xfId="122" xr:uid="{00000000-0005-0000-0000-000077000000}"/>
    <cellStyle name="20% - Accent6 6" xfId="123" xr:uid="{00000000-0005-0000-0000-000078000000}"/>
    <cellStyle name="20% - Accent6 7" xfId="124" xr:uid="{00000000-0005-0000-0000-000079000000}"/>
    <cellStyle name="20% - Accent6 8" xfId="125" xr:uid="{00000000-0005-0000-0000-00007A000000}"/>
    <cellStyle name="20% - Accent6 9" xfId="126" xr:uid="{00000000-0005-0000-0000-00007B000000}"/>
    <cellStyle name="40% - Accent1 10" xfId="127" xr:uid="{00000000-0005-0000-0000-00007C000000}"/>
    <cellStyle name="40% - Accent1 11" xfId="128" xr:uid="{00000000-0005-0000-0000-00007D000000}"/>
    <cellStyle name="40% - Accent1 12" xfId="129" xr:uid="{00000000-0005-0000-0000-00007E000000}"/>
    <cellStyle name="40% - Accent1 2" xfId="130" xr:uid="{00000000-0005-0000-0000-00007F000000}"/>
    <cellStyle name="40% - Accent1 2 2" xfId="131" xr:uid="{00000000-0005-0000-0000-000080000000}"/>
    <cellStyle name="40% - Accent1 2 3" xfId="132" xr:uid="{00000000-0005-0000-0000-000081000000}"/>
    <cellStyle name="40% - Accent1 2_situație reabilitare termica - sectorul 1" xfId="133" xr:uid="{00000000-0005-0000-0000-000082000000}"/>
    <cellStyle name="40% - Accent1 3" xfId="134" xr:uid="{00000000-0005-0000-0000-000083000000}"/>
    <cellStyle name="40% - Accent1 3 2" xfId="135" xr:uid="{00000000-0005-0000-0000-000084000000}"/>
    <cellStyle name="40% - Accent1 3 3" xfId="136" xr:uid="{00000000-0005-0000-0000-000085000000}"/>
    <cellStyle name="40% - Accent1 3_situație reabilitare termica - sectorul 1" xfId="137" xr:uid="{00000000-0005-0000-0000-000086000000}"/>
    <cellStyle name="40% - Accent1 4" xfId="138" xr:uid="{00000000-0005-0000-0000-000087000000}"/>
    <cellStyle name="40% - Accent1 4 2" xfId="139" xr:uid="{00000000-0005-0000-0000-000088000000}"/>
    <cellStyle name="40% - Accent1 4 3" xfId="140" xr:uid="{00000000-0005-0000-0000-000089000000}"/>
    <cellStyle name="40% - Accent1 4_situație reabilitare termica - sectorul 1" xfId="141" xr:uid="{00000000-0005-0000-0000-00008A000000}"/>
    <cellStyle name="40% - Accent1 5" xfId="142" xr:uid="{00000000-0005-0000-0000-00008B000000}"/>
    <cellStyle name="40% - Accent1 6" xfId="143" xr:uid="{00000000-0005-0000-0000-00008C000000}"/>
    <cellStyle name="40% - Accent1 7" xfId="144" xr:uid="{00000000-0005-0000-0000-00008D000000}"/>
    <cellStyle name="40% - Accent1 8" xfId="145" xr:uid="{00000000-0005-0000-0000-00008E000000}"/>
    <cellStyle name="40% - Accent1 9" xfId="146" xr:uid="{00000000-0005-0000-0000-00008F000000}"/>
    <cellStyle name="40% - Accent2 10" xfId="147" xr:uid="{00000000-0005-0000-0000-000090000000}"/>
    <cellStyle name="40% - Accent2 11" xfId="148" xr:uid="{00000000-0005-0000-0000-000091000000}"/>
    <cellStyle name="40% - Accent2 12" xfId="149" xr:uid="{00000000-0005-0000-0000-000092000000}"/>
    <cellStyle name="40% - Accent2 2" xfId="150" xr:uid="{00000000-0005-0000-0000-000093000000}"/>
    <cellStyle name="40% - Accent2 2 2" xfId="151" xr:uid="{00000000-0005-0000-0000-000094000000}"/>
    <cellStyle name="40% - Accent2 2 3" xfId="152" xr:uid="{00000000-0005-0000-0000-000095000000}"/>
    <cellStyle name="40% - Accent2 2_situație reabilitare termica - sectorul 1" xfId="153" xr:uid="{00000000-0005-0000-0000-000096000000}"/>
    <cellStyle name="40% - Accent2 3" xfId="154" xr:uid="{00000000-0005-0000-0000-000097000000}"/>
    <cellStyle name="40% - Accent2 3 2" xfId="155" xr:uid="{00000000-0005-0000-0000-000098000000}"/>
    <cellStyle name="40% - Accent2 3 3" xfId="156" xr:uid="{00000000-0005-0000-0000-000099000000}"/>
    <cellStyle name="40% - Accent2 3_situație reabilitare termica - sectorul 1" xfId="157" xr:uid="{00000000-0005-0000-0000-00009A000000}"/>
    <cellStyle name="40% - Accent2 4" xfId="158" xr:uid="{00000000-0005-0000-0000-00009B000000}"/>
    <cellStyle name="40% - Accent2 4 2" xfId="159" xr:uid="{00000000-0005-0000-0000-00009C000000}"/>
    <cellStyle name="40% - Accent2 4 3" xfId="160" xr:uid="{00000000-0005-0000-0000-00009D000000}"/>
    <cellStyle name="40% - Accent2 4_situație reabilitare termica - sectorul 1" xfId="161" xr:uid="{00000000-0005-0000-0000-00009E000000}"/>
    <cellStyle name="40% - Accent2 5" xfId="162" xr:uid="{00000000-0005-0000-0000-00009F000000}"/>
    <cellStyle name="40% - Accent2 6" xfId="163" xr:uid="{00000000-0005-0000-0000-0000A0000000}"/>
    <cellStyle name="40% - Accent2 7" xfId="164" xr:uid="{00000000-0005-0000-0000-0000A1000000}"/>
    <cellStyle name="40% - Accent2 8" xfId="165" xr:uid="{00000000-0005-0000-0000-0000A2000000}"/>
    <cellStyle name="40% - Accent2 9" xfId="166" xr:uid="{00000000-0005-0000-0000-0000A3000000}"/>
    <cellStyle name="40% - Accent3 10" xfId="167" xr:uid="{00000000-0005-0000-0000-0000A4000000}"/>
    <cellStyle name="40% - Accent3 11" xfId="168" xr:uid="{00000000-0005-0000-0000-0000A5000000}"/>
    <cellStyle name="40% - Accent3 12" xfId="169" xr:uid="{00000000-0005-0000-0000-0000A6000000}"/>
    <cellStyle name="40% - Accent3 2" xfId="170" xr:uid="{00000000-0005-0000-0000-0000A7000000}"/>
    <cellStyle name="40% - Accent3 2 2" xfId="171" xr:uid="{00000000-0005-0000-0000-0000A8000000}"/>
    <cellStyle name="40% - Accent3 2 3" xfId="172" xr:uid="{00000000-0005-0000-0000-0000A9000000}"/>
    <cellStyle name="40% - Accent3 2_situație reabilitare termica - sectorul 1" xfId="173" xr:uid="{00000000-0005-0000-0000-0000AA000000}"/>
    <cellStyle name="40% - Accent3 3" xfId="174" xr:uid="{00000000-0005-0000-0000-0000AB000000}"/>
    <cellStyle name="40% - Accent3 3 2" xfId="175" xr:uid="{00000000-0005-0000-0000-0000AC000000}"/>
    <cellStyle name="40% - Accent3 3 3" xfId="176" xr:uid="{00000000-0005-0000-0000-0000AD000000}"/>
    <cellStyle name="40% - Accent3 3_situație reabilitare termica - sectorul 1" xfId="177" xr:uid="{00000000-0005-0000-0000-0000AE000000}"/>
    <cellStyle name="40% - Accent3 4" xfId="178" xr:uid="{00000000-0005-0000-0000-0000AF000000}"/>
    <cellStyle name="40% - Accent3 4 2" xfId="179" xr:uid="{00000000-0005-0000-0000-0000B0000000}"/>
    <cellStyle name="40% - Accent3 4 3" xfId="180" xr:uid="{00000000-0005-0000-0000-0000B1000000}"/>
    <cellStyle name="40% - Accent3 4_situație reabilitare termica - sectorul 1" xfId="181" xr:uid="{00000000-0005-0000-0000-0000B2000000}"/>
    <cellStyle name="40% - Accent3 5" xfId="182" xr:uid="{00000000-0005-0000-0000-0000B3000000}"/>
    <cellStyle name="40% - Accent3 6" xfId="183" xr:uid="{00000000-0005-0000-0000-0000B4000000}"/>
    <cellStyle name="40% - Accent3 7" xfId="184" xr:uid="{00000000-0005-0000-0000-0000B5000000}"/>
    <cellStyle name="40% - Accent3 8" xfId="185" xr:uid="{00000000-0005-0000-0000-0000B6000000}"/>
    <cellStyle name="40% - Accent3 9" xfId="186" xr:uid="{00000000-0005-0000-0000-0000B7000000}"/>
    <cellStyle name="40% - Accent4 10" xfId="187" xr:uid="{00000000-0005-0000-0000-0000B8000000}"/>
    <cellStyle name="40% - Accent4 11" xfId="188" xr:uid="{00000000-0005-0000-0000-0000B9000000}"/>
    <cellStyle name="40% - Accent4 12" xfId="189" xr:uid="{00000000-0005-0000-0000-0000BA000000}"/>
    <cellStyle name="40% - Accent4 2" xfId="190" xr:uid="{00000000-0005-0000-0000-0000BB000000}"/>
    <cellStyle name="40% - Accent4 2 2" xfId="191" xr:uid="{00000000-0005-0000-0000-0000BC000000}"/>
    <cellStyle name="40% - Accent4 2 3" xfId="192" xr:uid="{00000000-0005-0000-0000-0000BD000000}"/>
    <cellStyle name="40% - Accent4 2_situație reabilitare termica - sectorul 1" xfId="193" xr:uid="{00000000-0005-0000-0000-0000BE000000}"/>
    <cellStyle name="40% - Accent4 3" xfId="194" xr:uid="{00000000-0005-0000-0000-0000BF000000}"/>
    <cellStyle name="40% - Accent4 3 2" xfId="195" xr:uid="{00000000-0005-0000-0000-0000C0000000}"/>
    <cellStyle name="40% - Accent4 3 3" xfId="196" xr:uid="{00000000-0005-0000-0000-0000C1000000}"/>
    <cellStyle name="40% - Accent4 3_situație reabilitare termica - sectorul 1" xfId="197" xr:uid="{00000000-0005-0000-0000-0000C2000000}"/>
    <cellStyle name="40% - Accent4 4" xfId="198" xr:uid="{00000000-0005-0000-0000-0000C3000000}"/>
    <cellStyle name="40% - Accent4 4 2" xfId="199" xr:uid="{00000000-0005-0000-0000-0000C4000000}"/>
    <cellStyle name="40% - Accent4 4 3" xfId="200" xr:uid="{00000000-0005-0000-0000-0000C5000000}"/>
    <cellStyle name="40% - Accent4 4_situație reabilitare termica - sectorul 1" xfId="201" xr:uid="{00000000-0005-0000-0000-0000C6000000}"/>
    <cellStyle name="40% - Accent4 5" xfId="202" xr:uid="{00000000-0005-0000-0000-0000C7000000}"/>
    <cellStyle name="40% - Accent4 6" xfId="203" xr:uid="{00000000-0005-0000-0000-0000C8000000}"/>
    <cellStyle name="40% - Accent4 7" xfId="204" xr:uid="{00000000-0005-0000-0000-0000C9000000}"/>
    <cellStyle name="40% - Accent4 8" xfId="205" xr:uid="{00000000-0005-0000-0000-0000CA000000}"/>
    <cellStyle name="40% - Accent4 9" xfId="206" xr:uid="{00000000-0005-0000-0000-0000CB000000}"/>
    <cellStyle name="40% - Accent5 10" xfId="207" xr:uid="{00000000-0005-0000-0000-0000CC000000}"/>
    <cellStyle name="40% - Accent5 11" xfId="208" xr:uid="{00000000-0005-0000-0000-0000CD000000}"/>
    <cellStyle name="40% - Accent5 12" xfId="209" xr:uid="{00000000-0005-0000-0000-0000CE000000}"/>
    <cellStyle name="40% - Accent5 2" xfId="210" xr:uid="{00000000-0005-0000-0000-0000CF000000}"/>
    <cellStyle name="40% - Accent5 2 2" xfId="211" xr:uid="{00000000-0005-0000-0000-0000D0000000}"/>
    <cellStyle name="40% - Accent5 2 3" xfId="212" xr:uid="{00000000-0005-0000-0000-0000D1000000}"/>
    <cellStyle name="40% - Accent5 2_situație reabilitare termica - sectorul 1" xfId="213" xr:uid="{00000000-0005-0000-0000-0000D2000000}"/>
    <cellStyle name="40% - Accent5 3" xfId="214" xr:uid="{00000000-0005-0000-0000-0000D3000000}"/>
    <cellStyle name="40% - Accent5 3 2" xfId="215" xr:uid="{00000000-0005-0000-0000-0000D4000000}"/>
    <cellStyle name="40% - Accent5 3 3" xfId="216" xr:uid="{00000000-0005-0000-0000-0000D5000000}"/>
    <cellStyle name="40% - Accent5 3_situație reabilitare termica - sectorul 1" xfId="217" xr:uid="{00000000-0005-0000-0000-0000D6000000}"/>
    <cellStyle name="40% - Accent5 4" xfId="218" xr:uid="{00000000-0005-0000-0000-0000D7000000}"/>
    <cellStyle name="40% - Accent5 4 2" xfId="219" xr:uid="{00000000-0005-0000-0000-0000D8000000}"/>
    <cellStyle name="40% - Accent5 4 3" xfId="220" xr:uid="{00000000-0005-0000-0000-0000D9000000}"/>
    <cellStyle name="40% - Accent5 4_situație reabilitare termica - sectorul 1" xfId="221" xr:uid="{00000000-0005-0000-0000-0000DA000000}"/>
    <cellStyle name="40% - Accent5 5" xfId="222" xr:uid="{00000000-0005-0000-0000-0000DB000000}"/>
    <cellStyle name="40% - Accent5 6" xfId="223" xr:uid="{00000000-0005-0000-0000-0000DC000000}"/>
    <cellStyle name="40% - Accent5 7" xfId="224" xr:uid="{00000000-0005-0000-0000-0000DD000000}"/>
    <cellStyle name="40% - Accent5 8" xfId="225" xr:uid="{00000000-0005-0000-0000-0000DE000000}"/>
    <cellStyle name="40% - Accent5 9" xfId="226" xr:uid="{00000000-0005-0000-0000-0000DF000000}"/>
    <cellStyle name="40% - Accent6 10" xfId="227" xr:uid="{00000000-0005-0000-0000-0000E0000000}"/>
    <cellStyle name="40% - Accent6 11" xfId="228" xr:uid="{00000000-0005-0000-0000-0000E1000000}"/>
    <cellStyle name="40% - Accent6 12" xfId="229" xr:uid="{00000000-0005-0000-0000-0000E2000000}"/>
    <cellStyle name="40% - Accent6 2" xfId="230" xr:uid="{00000000-0005-0000-0000-0000E3000000}"/>
    <cellStyle name="40% - Accent6 2 2" xfId="231" xr:uid="{00000000-0005-0000-0000-0000E4000000}"/>
    <cellStyle name="40% - Accent6 2 3" xfId="232" xr:uid="{00000000-0005-0000-0000-0000E5000000}"/>
    <cellStyle name="40% - Accent6 2_situație reabilitare termica - sectorul 1" xfId="233" xr:uid="{00000000-0005-0000-0000-0000E6000000}"/>
    <cellStyle name="40% - Accent6 3" xfId="234" xr:uid="{00000000-0005-0000-0000-0000E7000000}"/>
    <cellStyle name="40% - Accent6 3 2" xfId="235" xr:uid="{00000000-0005-0000-0000-0000E8000000}"/>
    <cellStyle name="40% - Accent6 3 3" xfId="236" xr:uid="{00000000-0005-0000-0000-0000E9000000}"/>
    <cellStyle name="40% - Accent6 3_situație reabilitare termica - sectorul 1" xfId="237" xr:uid="{00000000-0005-0000-0000-0000EA000000}"/>
    <cellStyle name="40% - Accent6 4" xfId="238" xr:uid="{00000000-0005-0000-0000-0000EB000000}"/>
    <cellStyle name="40% - Accent6 4 2" xfId="239" xr:uid="{00000000-0005-0000-0000-0000EC000000}"/>
    <cellStyle name="40% - Accent6 4 3" xfId="240" xr:uid="{00000000-0005-0000-0000-0000ED000000}"/>
    <cellStyle name="40% - Accent6 4_situație reabilitare termica - sectorul 1" xfId="241" xr:uid="{00000000-0005-0000-0000-0000EE000000}"/>
    <cellStyle name="40% - Accent6 5" xfId="242" xr:uid="{00000000-0005-0000-0000-0000EF000000}"/>
    <cellStyle name="40% - Accent6 6" xfId="243" xr:uid="{00000000-0005-0000-0000-0000F0000000}"/>
    <cellStyle name="40% - Accent6 7" xfId="244" xr:uid="{00000000-0005-0000-0000-0000F1000000}"/>
    <cellStyle name="40% - Accent6 8" xfId="245" xr:uid="{00000000-0005-0000-0000-0000F2000000}"/>
    <cellStyle name="40% - Accent6 9" xfId="246" xr:uid="{00000000-0005-0000-0000-0000F3000000}"/>
    <cellStyle name="60% - Accent1 10" xfId="247" xr:uid="{00000000-0005-0000-0000-0000F4000000}"/>
    <cellStyle name="60% - Accent1 11" xfId="248" xr:uid="{00000000-0005-0000-0000-0000F5000000}"/>
    <cellStyle name="60% - Accent1 12" xfId="249" xr:uid="{00000000-0005-0000-0000-0000F6000000}"/>
    <cellStyle name="60% - Accent1 2" xfId="250" xr:uid="{00000000-0005-0000-0000-0000F7000000}"/>
    <cellStyle name="60% - Accent1 2 2" xfId="251" xr:uid="{00000000-0005-0000-0000-0000F8000000}"/>
    <cellStyle name="60% - Accent1 2 3" xfId="252" xr:uid="{00000000-0005-0000-0000-0000F9000000}"/>
    <cellStyle name="60% - Accent1 3" xfId="253" xr:uid="{00000000-0005-0000-0000-0000FA000000}"/>
    <cellStyle name="60% - Accent1 3 2" xfId="254" xr:uid="{00000000-0005-0000-0000-0000FB000000}"/>
    <cellStyle name="60% - Accent1 3 3" xfId="255" xr:uid="{00000000-0005-0000-0000-0000FC000000}"/>
    <cellStyle name="60% - Accent1 4" xfId="256" xr:uid="{00000000-0005-0000-0000-0000FD000000}"/>
    <cellStyle name="60% - Accent1 4 2" xfId="257" xr:uid="{00000000-0005-0000-0000-0000FE000000}"/>
    <cellStyle name="60% - Accent1 4 3" xfId="258" xr:uid="{00000000-0005-0000-0000-0000FF000000}"/>
    <cellStyle name="60% - Accent1 5" xfId="259" xr:uid="{00000000-0005-0000-0000-000000010000}"/>
    <cellStyle name="60% - Accent1 6" xfId="260" xr:uid="{00000000-0005-0000-0000-000001010000}"/>
    <cellStyle name="60% - Accent1 7" xfId="261" xr:uid="{00000000-0005-0000-0000-000002010000}"/>
    <cellStyle name="60% - Accent1 8" xfId="262" xr:uid="{00000000-0005-0000-0000-000003010000}"/>
    <cellStyle name="60% - Accent1 9" xfId="263" xr:uid="{00000000-0005-0000-0000-000004010000}"/>
    <cellStyle name="60% - Accent2 10" xfId="264" xr:uid="{00000000-0005-0000-0000-000005010000}"/>
    <cellStyle name="60% - Accent2 11" xfId="265" xr:uid="{00000000-0005-0000-0000-000006010000}"/>
    <cellStyle name="60% - Accent2 12" xfId="266" xr:uid="{00000000-0005-0000-0000-000007010000}"/>
    <cellStyle name="60% - Accent2 2" xfId="267" xr:uid="{00000000-0005-0000-0000-000008010000}"/>
    <cellStyle name="60% - Accent2 2 2" xfId="268" xr:uid="{00000000-0005-0000-0000-000009010000}"/>
    <cellStyle name="60% - Accent2 2 3" xfId="269" xr:uid="{00000000-0005-0000-0000-00000A010000}"/>
    <cellStyle name="60% - Accent2 3" xfId="270" xr:uid="{00000000-0005-0000-0000-00000B010000}"/>
    <cellStyle name="60% - Accent2 3 2" xfId="271" xr:uid="{00000000-0005-0000-0000-00000C010000}"/>
    <cellStyle name="60% - Accent2 3 3" xfId="272" xr:uid="{00000000-0005-0000-0000-00000D010000}"/>
    <cellStyle name="60% - Accent2 4" xfId="273" xr:uid="{00000000-0005-0000-0000-00000E010000}"/>
    <cellStyle name="60% - Accent2 4 2" xfId="274" xr:uid="{00000000-0005-0000-0000-00000F010000}"/>
    <cellStyle name="60% - Accent2 4 3" xfId="275" xr:uid="{00000000-0005-0000-0000-000010010000}"/>
    <cellStyle name="60% - Accent2 5" xfId="276" xr:uid="{00000000-0005-0000-0000-000011010000}"/>
    <cellStyle name="60% - Accent2 6" xfId="277" xr:uid="{00000000-0005-0000-0000-000012010000}"/>
    <cellStyle name="60% - Accent2 7" xfId="278" xr:uid="{00000000-0005-0000-0000-000013010000}"/>
    <cellStyle name="60% - Accent2 8" xfId="279" xr:uid="{00000000-0005-0000-0000-000014010000}"/>
    <cellStyle name="60% - Accent2 9" xfId="280" xr:uid="{00000000-0005-0000-0000-000015010000}"/>
    <cellStyle name="60% - Accent3 10" xfId="281" xr:uid="{00000000-0005-0000-0000-000016010000}"/>
    <cellStyle name="60% - Accent3 11" xfId="282" xr:uid="{00000000-0005-0000-0000-000017010000}"/>
    <cellStyle name="60% - Accent3 12" xfId="283" xr:uid="{00000000-0005-0000-0000-000018010000}"/>
    <cellStyle name="60% - Accent3 2" xfId="284" xr:uid="{00000000-0005-0000-0000-000019010000}"/>
    <cellStyle name="60% - Accent3 2 2" xfId="285" xr:uid="{00000000-0005-0000-0000-00001A010000}"/>
    <cellStyle name="60% - Accent3 2 3" xfId="286" xr:uid="{00000000-0005-0000-0000-00001B010000}"/>
    <cellStyle name="60% - Accent3 3" xfId="287" xr:uid="{00000000-0005-0000-0000-00001C010000}"/>
    <cellStyle name="60% - Accent3 3 2" xfId="288" xr:uid="{00000000-0005-0000-0000-00001D010000}"/>
    <cellStyle name="60% - Accent3 3 3" xfId="289" xr:uid="{00000000-0005-0000-0000-00001E010000}"/>
    <cellStyle name="60% - Accent3 4" xfId="290" xr:uid="{00000000-0005-0000-0000-00001F010000}"/>
    <cellStyle name="60% - Accent3 4 2" xfId="291" xr:uid="{00000000-0005-0000-0000-000020010000}"/>
    <cellStyle name="60% - Accent3 4 3" xfId="292" xr:uid="{00000000-0005-0000-0000-000021010000}"/>
    <cellStyle name="60% - Accent3 5" xfId="293" xr:uid="{00000000-0005-0000-0000-000022010000}"/>
    <cellStyle name="60% - Accent3 6" xfId="294" xr:uid="{00000000-0005-0000-0000-000023010000}"/>
    <cellStyle name="60% - Accent3 7" xfId="295" xr:uid="{00000000-0005-0000-0000-000024010000}"/>
    <cellStyle name="60% - Accent3 8" xfId="296" xr:uid="{00000000-0005-0000-0000-000025010000}"/>
    <cellStyle name="60% - Accent3 9" xfId="297" xr:uid="{00000000-0005-0000-0000-000026010000}"/>
    <cellStyle name="60% - Accent4 10" xfId="298" xr:uid="{00000000-0005-0000-0000-000027010000}"/>
    <cellStyle name="60% - Accent4 11" xfId="299" xr:uid="{00000000-0005-0000-0000-000028010000}"/>
    <cellStyle name="60% - Accent4 12" xfId="300" xr:uid="{00000000-0005-0000-0000-000029010000}"/>
    <cellStyle name="60% - Accent4 2" xfId="301" xr:uid="{00000000-0005-0000-0000-00002A010000}"/>
    <cellStyle name="60% - Accent4 2 2" xfId="302" xr:uid="{00000000-0005-0000-0000-00002B010000}"/>
    <cellStyle name="60% - Accent4 2 3" xfId="303" xr:uid="{00000000-0005-0000-0000-00002C010000}"/>
    <cellStyle name="60% - Accent4 3" xfId="304" xr:uid="{00000000-0005-0000-0000-00002D010000}"/>
    <cellStyle name="60% - Accent4 3 2" xfId="305" xr:uid="{00000000-0005-0000-0000-00002E010000}"/>
    <cellStyle name="60% - Accent4 3 3" xfId="306" xr:uid="{00000000-0005-0000-0000-00002F010000}"/>
    <cellStyle name="60% - Accent4 4" xfId="307" xr:uid="{00000000-0005-0000-0000-000030010000}"/>
    <cellStyle name="60% - Accent4 4 2" xfId="308" xr:uid="{00000000-0005-0000-0000-000031010000}"/>
    <cellStyle name="60% - Accent4 4 3" xfId="309" xr:uid="{00000000-0005-0000-0000-000032010000}"/>
    <cellStyle name="60% - Accent4 5" xfId="310" xr:uid="{00000000-0005-0000-0000-000033010000}"/>
    <cellStyle name="60% - Accent4 6" xfId="311" xr:uid="{00000000-0005-0000-0000-000034010000}"/>
    <cellStyle name="60% - Accent4 7" xfId="312" xr:uid="{00000000-0005-0000-0000-000035010000}"/>
    <cellStyle name="60% - Accent4 8" xfId="313" xr:uid="{00000000-0005-0000-0000-000036010000}"/>
    <cellStyle name="60% - Accent4 9" xfId="314" xr:uid="{00000000-0005-0000-0000-000037010000}"/>
    <cellStyle name="60% - Accent5 10" xfId="315" xr:uid="{00000000-0005-0000-0000-000038010000}"/>
    <cellStyle name="60% - Accent5 11" xfId="316" xr:uid="{00000000-0005-0000-0000-000039010000}"/>
    <cellStyle name="60% - Accent5 12" xfId="317" xr:uid="{00000000-0005-0000-0000-00003A010000}"/>
    <cellStyle name="60% - Accent5 2" xfId="318" xr:uid="{00000000-0005-0000-0000-00003B010000}"/>
    <cellStyle name="60% - Accent5 2 2" xfId="319" xr:uid="{00000000-0005-0000-0000-00003C010000}"/>
    <cellStyle name="60% - Accent5 2 3" xfId="320" xr:uid="{00000000-0005-0000-0000-00003D010000}"/>
    <cellStyle name="60% - Accent5 3" xfId="321" xr:uid="{00000000-0005-0000-0000-00003E010000}"/>
    <cellStyle name="60% - Accent5 3 2" xfId="322" xr:uid="{00000000-0005-0000-0000-00003F010000}"/>
    <cellStyle name="60% - Accent5 3 3" xfId="323" xr:uid="{00000000-0005-0000-0000-000040010000}"/>
    <cellStyle name="60% - Accent5 4" xfId="324" xr:uid="{00000000-0005-0000-0000-000041010000}"/>
    <cellStyle name="60% - Accent5 4 2" xfId="325" xr:uid="{00000000-0005-0000-0000-000042010000}"/>
    <cellStyle name="60% - Accent5 4 3" xfId="326" xr:uid="{00000000-0005-0000-0000-000043010000}"/>
    <cellStyle name="60% - Accent5 5" xfId="327" xr:uid="{00000000-0005-0000-0000-000044010000}"/>
    <cellStyle name="60% - Accent5 6" xfId="328" xr:uid="{00000000-0005-0000-0000-000045010000}"/>
    <cellStyle name="60% - Accent5 7" xfId="329" xr:uid="{00000000-0005-0000-0000-000046010000}"/>
    <cellStyle name="60% - Accent5 8" xfId="330" xr:uid="{00000000-0005-0000-0000-000047010000}"/>
    <cellStyle name="60% - Accent5 9" xfId="331" xr:uid="{00000000-0005-0000-0000-000048010000}"/>
    <cellStyle name="60% - Accent6 10" xfId="332" xr:uid="{00000000-0005-0000-0000-000049010000}"/>
    <cellStyle name="60% - Accent6 11" xfId="333" xr:uid="{00000000-0005-0000-0000-00004A010000}"/>
    <cellStyle name="60% - Accent6 12" xfId="334" xr:uid="{00000000-0005-0000-0000-00004B010000}"/>
    <cellStyle name="60% - Accent6 2" xfId="335" xr:uid="{00000000-0005-0000-0000-00004C010000}"/>
    <cellStyle name="60% - Accent6 2 2" xfId="336" xr:uid="{00000000-0005-0000-0000-00004D010000}"/>
    <cellStyle name="60% - Accent6 2 3" xfId="337" xr:uid="{00000000-0005-0000-0000-00004E010000}"/>
    <cellStyle name="60% - Accent6 3" xfId="338" xr:uid="{00000000-0005-0000-0000-00004F010000}"/>
    <cellStyle name="60% - Accent6 3 2" xfId="339" xr:uid="{00000000-0005-0000-0000-000050010000}"/>
    <cellStyle name="60% - Accent6 3 3" xfId="340" xr:uid="{00000000-0005-0000-0000-000051010000}"/>
    <cellStyle name="60% - Accent6 4" xfId="341" xr:uid="{00000000-0005-0000-0000-000052010000}"/>
    <cellStyle name="60% - Accent6 4 2" xfId="342" xr:uid="{00000000-0005-0000-0000-000053010000}"/>
    <cellStyle name="60% - Accent6 4 3" xfId="343" xr:uid="{00000000-0005-0000-0000-000054010000}"/>
    <cellStyle name="60% - Accent6 5" xfId="344" xr:uid="{00000000-0005-0000-0000-000055010000}"/>
    <cellStyle name="60% - Accent6 6" xfId="345" xr:uid="{00000000-0005-0000-0000-000056010000}"/>
    <cellStyle name="60% - Accent6 7" xfId="346" xr:uid="{00000000-0005-0000-0000-000057010000}"/>
    <cellStyle name="60% - Accent6 8" xfId="347" xr:uid="{00000000-0005-0000-0000-000058010000}"/>
    <cellStyle name="60% - Accent6 9" xfId="348" xr:uid="{00000000-0005-0000-0000-000059010000}"/>
    <cellStyle name="Accent1 10" xfId="349" xr:uid="{00000000-0005-0000-0000-00005A010000}"/>
    <cellStyle name="Accent1 11" xfId="350" xr:uid="{00000000-0005-0000-0000-00005B010000}"/>
    <cellStyle name="Accent1 12" xfId="351" xr:uid="{00000000-0005-0000-0000-00005C010000}"/>
    <cellStyle name="Accent1 2" xfId="352" xr:uid="{00000000-0005-0000-0000-00005D010000}"/>
    <cellStyle name="Accent1 2 2" xfId="353" xr:uid="{00000000-0005-0000-0000-00005E010000}"/>
    <cellStyle name="Accent1 2 3" xfId="354" xr:uid="{00000000-0005-0000-0000-00005F010000}"/>
    <cellStyle name="Accent1 3" xfId="355" xr:uid="{00000000-0005-0000-0000-000060010000}"/>
    <cellStyle name="Accent1 3 2" xfId="356" xr:uid="{00000000-0005-0000-0000-000061010000}"/>
    <cellStyle name="Accent1 3 3" xfId="357" xr:uid="{00000000-0005-0000-0000-000062010000}"/>
    <cellStyle name="Accent1 4" xfId="358" xr:uid="{00000000-0005-0000-0000-000063010000}"/>
    <cellStyle name="Accent1 4 2" xfId="359" xr:uid="{00000000-0005-0000-0000-000064010000}"/>
    <cellStyle name="Accent1 4 3" xfId="360" xr:uid="{00000000-0005-0000-0000-000065010000}"/>
    <cellStyle name="Accent1 5" xfId="361" xr:uid="{00000000-0005-0000-0000-000066010000}"/>
    <cellStyle name="Accent1 6" xfId="362" xr:uid="{00000000-0005-0000-0000-000067010000}"/>
    <cellStyle name="Accent1 7" xfId="363" xr:uid="{00000000-0005-0000-0000-000068010000}"/>
    <cellStyle name="Accent1 8" xfId="364" xr:uid="{00000000-0005-0000-0000-000069010000}"/>
    <cellStyle name="Accent1 9" xfId="365" xr:uid="{00000000-0005-0000-0000-00006A010000}"/>
    <cellStyle name="Accent2 10" xfId="366" xr:uid="{00000000-0005-0000-0000-00006B010000}"/>
    <cellStyle name="Accent2 11" xfId="367" xr:uid="{00000000-0005-0000-0000-00006C010000}"/>
    <cellStyle name="Accent2 12" xfId="368" xr:uid="{00000000-0005-0000-0000-00006D010000}"/>
    <cellStyle name="Accent2 2" xfId="369" xr:uid="{00000000-0005-0000-0000-00006E010000}"/>
    <cellStyle name="Accent2 2 2" xfId="370" xr:uid="{00000000-0005-0000-0000-00006F010000}"/>
    <cellStyle name="Accent2 2 3" xfId="371" xr:uid="{00000000-0005-0000-0000-000070010000}"/>
    <cellStyle name="Accent2 3" xfId="372" xr:uid="{00000000-0005-0000-0000-000071010000}"/>
    <cellStyle name="Accent2 3 2" xfId="373" xr:uid="{00000000-0005-0000-0000-000072010000}"/>
    <cellStyle name="Accent2 3 3" xfId="374" xr:uid="{00000000-0005-0000-0000-000073010000}"/>
    <cellStyle name="Accent2 4" xfId="375" xr:uid="{00000000-0005-0000-0000-000074010000}"/>
    <cellStyle name="Accent2 4 2" xfId="376" xr:uid="{00000000-0005-0000-0000-000075010000}"/>
    <cellStyle name="Accent2 4 3" xfId="377" xr:uid="{00000000-0005-0000-0000-000076010000}"/>
    <cellStyle name="Accent2 5" xfId="378" xr:uid="{00000000-0005-0000-0000-000077010000}"/>
    <cellStyle name="Accent2 6" xfId="379" xr:uid="{00000000-0005-0000-0000-000078010000}"/>
    <cellStyle name="Accent2 7" xfId="380" xr:uid="{00000000-0005-0000-0000-000079010000}"/>
    <cellStyle name="Accent2 8" xfId="381" xr:uid="{00000000-0005-0000-0000-00007A010000}"/>
    <cellStyle name="Accent2 9" xfId="382" xr:uid="{00000000-0005-0000-0000-00007B010000}"/>
    <cellStyle name="Accent3 10" xfId="383" xr:uid="{00000000-0005-0000-0000-00007C010000}"/>
    <cellStyle name="Accent3 11" xfId="384" xr:uid="{00000000-0005-0000-0000-00007D010000}"/>
    <cellStyle name="Accent3 12" xfId="385" xr:uid="{00000000-0005-0000-0000-00007E010000}"/>
    <cellStyle name="Accent3 2" xfId="386" xr:uid="{00000000-0005-0000-0000-00007F010000}"/>
    <cellStyle name="Accent3 2 2" xfId="387" xr:uid="{00000000-0005-0000-0000-000080010000}"/>
    <cellStyle name="Accent3 2 3" xfId="388" xr:uid="{00000000-0005-0000-0000-000081010000}"/>
    <cellStyle name="Accent3 3" xfId="389" xr:uid="{00000000-0005-0000-0000-000082010000}"/>
    <cellStyle name="Accent3 3 2" xfId="390" xr:uid="{00000000-0005-0000-0000-000083010000}"/>
    <cellStyle name="Accent3 3 3" xfId="391" xr:uid="{00000000-0005-0000-0000-000084010000}"/>
    <cellStyle name="Accent3 4" xfId="392" xr:uid="{00000000-0005-0000-0000-000085010000}"/>
    <cellStyle name="Accent3 4 2" xfId="393" xr:uid="{00000000-0005-0000-0000-000086010000}"/>
    <cellStyle name="Accent3 4 3" xfId="394" xr:uid="{00000000-0005-0000-0000-000087010000}"/>
    <cellStyle name="Accent3 5" xfId="395" xr:uid="{00000000-0005-0000-0000-000088010000}"/>
    <cellStyle name="Accent3 6" xfId="396" xr:uid="{00000000-0005-0000-0000-000089010000}"/>
    <cellStyle name="Accent3 7" xfId="397" xr:uid="{00000000-0005-0000-0000-00008A010000}"/>
    <cellStyle name="Accent3 8" xfId="398" xr:uid="{00000000-0005-0000-0000-00008B010000}"/>
    <cellStyle name="Accent3 9" xfId="399" xr:uid="{00000000-0005-0000-0000-00008C010000}"/>
    <cellStyle name="Accent4 10" xfId="400" xr:uid="{00000000-0005-0000-0000-00008D010000}"/>
    <cellStyle name="Accent4 11" xfId="401" xr:uid="{00000000-0005-0000-0000-00008E010000}"/>
    <cellStyle name="Accent4 12" xfId="402" xr:uid="{00000000-0005-0000-0000-00008F010000}"/>
    <cellStyle name="Accent4 2" xfId="403" xr:uid="{00000000-0005-0000-0000-000090010000}"/>
    <cellStyle name="Accent4 2 2" xfId="404" xr:uid="{00000000-0005-0000-0000-000091010000}"/>
    <cellStyle name="Accent4 2 3" xfId="405" xr:uid="{00000000-0005-0000-0000-000092010000}"/>
    <cellStyle name="Accent4 3" xfId="406" xr:uid="{00000000-0005-0000-0000-000093010000}"/>
    <cellStyle name="Accent4 3 2" xfId="407" xr:uid="{00000000-0005-0000-0000-000094010000}"/>
    <cellStyle name="Accent4 3 3" xfId="408" xr:uid="{00000000-0005-0000-0000-000095010000}"/>
    <cellStyle name="Accent4 4" xfId="409" xr:uid="{00000000-0005-0000-0000-000096010000}"/>
    <cellStyle name="Accent4 4 2" xfId="410" xr:uid="{00000000-0005-0000-0000-000097010000}"/>
    <cellStyle name="Accent4 4 3" xfId="411" xr:uid="{00000000-0005-0000-0000-000098010000}"/>
    <cellStyle name="Accent4 5" xfId="412" xr:uid="{00000000-0005-0000-0000-000099010000}"/>
    <cellStyle name="Accent4 6" xfId="413" xr:uid="{00000000-0005-0000-0000-00009A010000}"/>
    <cellStyle name="Accent4 7" xfId="414" xr:uid="{00000000-0005-0000-0000-00009B010000}"/>
    <cellStyle name="Accent4 8" xfId="415" xr:uid="{00000000-0005-0000-0000-00009C010000}"/>
    <cellStyle name="Accent4 9" xfId="416" xr:uid="{00000000-0005-0000-0000-00009D010000}"/>
    <cellStyle name="Accent5 10" xfId="417" xr:uid="{00000000-0005-0000-0000-00009E010000}"/>
    <cellStyle name="Accent5 11" xfId="418" xr:uid="{00000000-0005-0000-0000-00009F010000}"/>
    <cellStyle name="Accent5 12" xfId="419" xr:uid="{00000000-0005-0000-0000-0000A0010000}"/>
    <cellStyle name="Accent5 2" xfId="420" xr:uid="{00000000-0005-0000-0000-0000A1010000}"/>
    <cellStyle name="Accent5 2 2" xfId="421" xr:uid="{00000000-0005-0000-0000-0000A2010000}"/>
    <cellStyle name="Accent5 2 3" xfId="422" xr:uid="{00000000-0005-0000-0000-0000A3010000}"/>
    <cellStyle name="Accent5 3" xfId="423" xr:uid="{00000000-0005-0000-0000-0000A4010000}"/>
    <cellStyle name="Accent5 3 2" xfId="424" xr:uid="{00000000-0005-0000-0000-0000A5010000}"/>
    <cellStyle name="Accent5 3 3" xfId="425" xr:uid="{00000000-0005-0000-0000-0000A6010000}"/>
    <cellStyle name="Accent5 4" xfId="426" xr:uid="{00000000-0005-0000-0000-0000A7010000}"/>
    <cellStyle name="Accent5 4 2" xfId="427" xr:uid="{00000000-0005-0000-0000-0000A8010000}"/>
    <cellStyle name="Accent5 4 3" xfId="428" xr:uid="{00000000-0005-0000-0000-0000A9010000}"/>
    <cellStyle name="Accent5 5" xfId="429" xr:uid="{00000000-0005-0000-0000-0000AA010000}"/>
    <cellStyle name="Accent5 6" xfId="430" xr:uid="{00000000-0005-0000-0000-0000AB010000}"/>
    <cellStyle name="Accent5 7" xfId="431" xr:uid="{00000000-0005-0000-0000-0000AC010000}"/>
    <cellStyle name="Accent5 8" xfId="432" xr:uid="{00000000-0005-0000-0000-0000AD010000}"/>
    <cellStyle name="Accent5 9" xfId="433" xr:uid="{00000000-0005-0000-0000-0000AE010000}"/>
    <cellStyle name="Accent6 10" xfId="434" xr:uid="{00000000-0005-0000-0000-0000AF010000}"/>
    <cellStyle name="Accent6 11" xfId="435" xr:uid="{00000000-0005-0000-0000-0000B0010000}"/>
    <cellStyle name="Accent6 12" xfId="436" xr:uid="{00000000-0005-0000-0000-0000B1010000}"/>
    <cellStyle name="Accent6 2" xfId="437" xr:uid="{00000000-0005-0000-0000-0000B2010000}"/>
    <cellStyle name="Accent6 2 2" xfId="438" xr:uid="{00000000-0005-0000-0000-0000B3010000}"/>
    <cellStyle name="Accent6 2 3" xfId="439" xr:uid="{00000000-0005-0000-0000-0000B4010000}"/>
    <cellStyle name="Accent6 3" xfId="440" xr:uid="{00000000-0005-0000-0000-0000B5010000}"/>
    <cellStyle name="Accent6 3 2" xfId="441" xr:uid="{00000000-0005-0000-0000-0000B6010000}"/>
    <cellStyle name="Accent6 3 3" xfId="442" xr:uid="{00000000-0005-0000-0000-0000B7010000}"/>
    <cellStyle name="Accent6 4" xfId="443" xr:uid="{00000000-0005-0000-0000-0000B8010000}"/>
    <cellStyle name="Accent6 4 2" xfId="444" xr:uid="{00000000-0005-0000-0000-0000B9010000}"/>
    <cellStyle name="Accent6 4 3" xfId="445" xr:uid="{00000000-0005-0000-0000-0000BA010000}"/>
    <cellStyle name="Accent6 5" xfId="446" xr:uid="{00000000-0005-0000-0000-0000BB010000}"/>
    <cellStyle name="Accent6 6" xfId="447" xr:uid="{00000000-0005-0000-0000-0000BC010000}"/>
    <cellStyle name="Accent6 7" xfId="448" xr:uid="{00000000-0005-0000-0000-0000BD010000}"/>
    <cellStyle name="Accent6 8" xfId="449" xr:uid="{00000000-0005-0000-0000-0000BE010000}"/>
    <cellStyle name="Accent6 9" xfId="450" xr:uid="{00000000-0005-0000-0000-0000BF010000}"/>
    <cellStyle name="Bad 10" xfId="451" xr:uid="{00000000-0005-0000-0000-0000C0010000}"/>
    <cellStyle name="Bad 11" xfId="452" xr:uid="{00000000-0005-0000-0000-0000C1010000}"/>
    <cellStyle name="Bad 12" xfId="453" xr:uid="{00000000-0005-0000-0000-0000C2010000}"/>
    <cellStyle name="Bad 2" xfId="454" xr:uid="{00000000-0005-0000-0000-0000C3010000}"/>
    <cellStyle name="Bad 2 2" xfId="455" xr:uid="{00000000-0005-0000-0000-0000C4010000}"/>
    <cellStyle name="Bad 2 3" xfId="456" xr:uid="{00000000-0005-0000-0000-0000C5010000}"/>
    <cellStyle name="Bad 3" xfId="457" xr:uid="{00000000-0005-0000-0000-0000C6010000}"/>
    <cellStyle name="Bad 3 2" xfId="458" xr:uid="{00000000-0005-0000-0000-0000C7010000}"/>
    <cellStyle name="Bad 3 3" xfId="459" xr:uid="{00000000-0005-0000-0000-0000C8010000}"/>
    <cellStyle name="Bad 4" xfId="460" xr:uid="{00000000-0005-0000-0000-0000C9010000}"/>
    <cellStyle name="Bad 4 2" xfId="461" xr:uid="{00000000-0005-0000-0000-0000CA010000}"/>
    <cellStyle name="Bad 4 3" xfId="462" xr:uid="{00000000-0005-0000-0000-0000CB010000}"/>
    <cellStyle name="Bad 5" xfId="463" xr:uid="{00000000-0005-0000-0000-0000CC010000}"/>
    <cellStyle name="Bad 6" xfId="464" xr:uid="{00000000-0005-0000-0000-0000CD010000}"/>
    <cellStyle name="Bad 7" xfId="465" xr:uid="{00000000-0005-0000-0000-0000CE010000}"/>
    <cellStyle name="Bad 8" xfId="466" xr:uid="{00000000-0005-0000-0000-0000CF010000}"/>
    <cellStyle name="Bad 9" xfId="467" xr:uid="{00000000-0005-0000-0000-0000D0010000}"/>
    <cellStyle name="Blank [$]" xfId="468" xr:uid="{00000000-0005-0000-0000-0000D1010000}"/>
    <cellStyle name="Blank [%]" xfId="469" xr:uid="{00000000-0005-0000-0000-0000D2010000}"/>
    <cellStyle name="Blank [,]" xfId="470" xr:uid="{00000000-0005-0000-0000-0000D3010000}"/>
    <cellStyle name="Blank [1$]" xfId="471" xr:uid="{00000000-0005-0000-0000-0000D4010000}"/>
    <cellStyle name="Blank [1%]" xfId="472" xr:uid="{00000000-0005-0000-0000-0000D5010000}"/>
    <cellStyle name="Blank [1,]" xfId="473" xr:uid="{00000000-0005-0000-0000-0000D6010000}"/>
    <cellStyle name="Blank [2$]" xfId="474" xr:uid="{00000000-0005-0000-0000-0000D7010000}"/>
    <cellStyle name="Blank [2%]" xfId="475" xr:uid="{00000000-0005-0000-0000-0000D8010000}"/>
    <cellStyle name="Blank [2,]" xfId="476" xr:uid="{00000000-0005-0000-0000-0000D9010000}"/>
    <cellStyle name="Blank [3$]" xfId="477" xr:uid="{00000000-0005-0000-0000-0000DA010000}"/>
    <cellStyle name="Blank [3%]" xfId="478" xr:uid="{00000000-0005-0000-0000-0000DB010000}"/>
    <cellStyle name="Blank [3,]" xfId="479" xr:uid="{00000000-0005-0000-0000-0000DC010000}"/>
    <cellStyle name="Blank [D-M-Y]" xfId="480" xr:uid="{00000000-0005-0000-0000-0000DD010000}"/>
    <cellStyle name="Blank [K,]" xfId="481" xr:uid="{00000000-0005-0000-0000-0000DE010000}"/>
    <cellStyle name="Blank[,]" xfId="482" xr:uid="{00000000-0005-0000-0000-0000DF010000}"/>
    <cellStyle name="Bold/Border" xfId="483" xr:uid="{00000000-0005-0000-0000-0000E0010000}"/>
    <cellStyle name="Bullet" xfId="484" xr:uid="{00000000-0005-0000-0000-0000E1010000}"/>
    <cellStyle name="Bun" xfId="485" xr:uid="{00000000-0005-0000-0000-0000E2010000}"/>
    <cellStyle name="Calcul" xfId="486" xr:uid="{00000000-0005-0000-0000-0000E3010000}"/>
    <cellStyle name="Calculation 10" xfId="487" xr:uid="{00000000-0005-0000-0000-0000E4010000}"/>
    <cellStyle name="Calculation 11" xfId="488" xr:uid="{00000000-0005-0000-0000-0000E5010000}"/>
    <cellStyle name="Calculation 12" xfId="489" xr:uid="{00000000-0005-0000-0000-0000E6010000}"/>
    <cellStyle name="Calculation 2" xfId="490" xr:uid="{00000000-0005-0000-0000-0000E7010000}"/>
    <cellStyle name="Calculation 2 2" xfId="491" xr:uid="{00000000-0005-0000-0000-0000E8010000}"/>
    <cellStyle name="Calculation 2 3" xfId="492" xr:uid="{00000000-0005-0000-0000-0000E9010000}"/>
    <cellStyle name="Calculation 3" xfId="493" xr:uid="{00000000-0005-0000-0000-0000EA010000}"/>
    <cellStyle name="Calculation 3 2" xfId="494" xr:uid="{00000000-0005-0000-0000-0000EB010000}"/>
    <cellStyle name="Calculation 3 3" xfId="495" xr:uid="{00000000-0005-0000-0000-0000EC010000}"/>
    <cellStyle name="Calculation 4" xfId="496" xr:uid="{00000000-0005-0000-0000-0000ED010000}"/>
    <cellStyle name="Calculation 4 2" xfId="497" xr:uid="{00000000-0005-0000-0000-0000EE010000}"/>
    <cellStyle name="Calculation 4 3" xfId="498" xr:uid="{00000000-0005-0000-0000-0000EF010000}"/>
    <cellStyle name="Calculation 5" xfId="499" xr:uid="{00000000-0005-0000-0000-0000F0010000}"/>
    <cellStyle name="Calculation 6" xfId="500" xr:uid="{00000000-0005-0000-0000-0000F1010000}"/>
    <cellStyle name="Calculation 7" xfId="501" xr:uid="{00000000-0005-0000-0000-0000F2010000}"/>
    <cellStyle name="Calculation 8" xfId="502" xr:uid="{00000000-0005-0000-0000-0000F3010000}"/>
    <cellStyle name="Calculation 9" xfId="503" xr:uid="{00000000-0005-0000-0000-0000F4010000}"/>
    <cellStyle name="Celulă legată" xfId="504" xr:uid="{00000000-0005-0000-0000-0000F5010000}"/>
    <cellStyle name="Check Cell 10" xfId="505" xr:uid="{00000000-0005-0000-0000-0000F6010000}"/>
    <cellStyle name="Check Cell 11" xfId="506" xr:uid="{00000000-0005-0000-0000-0000F7010000}"/>
    <cellStyle name="Check Cell 12" xfId="507" xr:uid="{00000000-0005-0000-0000-0000F8010000}"/>
    <cellStyle name="Check Cell 2" xfId="508" xr:uid="{00000000-0005-0000-0000-0000F9010000}"/>
    <cellStyle name="Check Cell 2 2" xfId="509" xr:uid="{00000000-0005-0000-0000-0000FA010000}"/>
    <cellStyle name="Check Cell 2 3" xfId="510" xr:uid="{00000000-0005-0000-0000-0000FB010000}"/>
    <cellStyle name="Check Cell 3" xfId="511" xr:uid="{00000000-0005-0000-0000-0000FC010000}"/>
    <cellStyle name="Check Cell 3 2" xfId="512" xr:uid="{00000000-0005-0000-0000-0000FD010000}"/>
    <cellStyle name="Check Cell 3 3" xfId="513" xr:uid="{00000000-0005-0000-0000-0000FE010000}"/>
    <cellStyle name="Check Cell 4" xfId="514" xr:uid="{00000000-0005-0000-0000-0000FF010000}"/>
    <cellStyle name="Check Cell 4 2" xfId="515" xr:uid="{00000000-0005-0000-0000-000000020000}"/>
    <cellStyle name="Check Cell 4 3" xfId="516" xr:uid="{00000000-0005-0000-0000-000001020000}"/>
    <cellStyle name="Check Cell 5" xfId="517" xr:uid="{00000000-0005-0000-0000-000002020000}"/>
    <cellStyle name="Check Cell 6" xfId="518" xr:uid="{00000000-0005-0000-0000-000003020000}"/>
    <cellStyle name="Check Cell 7" xfId="519" xr:uid="{00000000-0005-0000-0000-000004020000}"/>
    <cellStyle name="Check Cell 8" xfId="520" xr:uid="{00000000-0005-0000-0000-000005020000}"/>
    <cellStyle name="Check Cell 9" xfId="521" xr:uid="{00000000-0005-0000-0000-000006020000}"/>
    <cellStyle name="Comma" xfId="840" builtinId="3"/>
    <cellStyle name="Comma  - Style1" xfId="522" xr:uid="{00000000-0005-0000-0000-000008020000}"/>
    <cellStyle name="Comma  - Style2" xfId="523" xr:uid="{00000000-0005-0000-0000-000009020000}"/>
    <cellStyle name="Comma  - Style3" xfId="524" xr:uid="{00000000-0005-0000-0000-00000A020000}"/>
    <cellStyle name="Comma  - Style4" xfId="525" xr:uid="{00000000-0005-0000-0000-00000B020000}"/>
    <cellStyle name="Comma  - Style5" xfId="526" xr:uid="{00000000-0005-0000-0000-00000C020000}"/>
    <cellStyle name="Comma  - Style6" xfId="527" xr:uid="{00000000-0005-0000-0000-00000D020000}"/>
    <cellStyle name="Comma  - Style7" xfId="528" xr:uid="{00000000-0005-0000-0000-00000E020000}"/>
    <cellStyle name="Comma  - Style8" xfId="529" xr:uid="{00000000-0005-0000-0000-00000F020000}"/>
    <cellStyle name="Comma [1]" xfId="530" xr:uid="{00000000-0005-0000-0000-000010020000}"/>
    <cellStyle name="Comma [2]" xfId="531" xr:uid="{00000000-0005-0000-0000-000011020000}"/>
    <cellStyle name="Comma [3]" xfId="532" xr:uid="{00000000-0005-0000-0000-000012020000}"/>
    <cellStyle name="Comma 2" xfId="533" xr:uid="{00000000-0005-0000-0000-000013020000}"/>
    <cellStyle name="Comma 3" xfId="844" xr:uid="{00000000-0005-0000-0000-000014020000}"/>
    <cellStyle name="Comma 3 2" xfId="865" xr:uid="{00000000-0005-0000-0000-000015020000}"/>
    <cellStyle name="Comma 4" xfId="846" xr:uid="{00000000-0005-0000-0000-000016020000}"/>
    <cellStyle name="Comma 5" xfId="849" xr:uid="{00000000-0005-0000-0000-000017020000}"/>
    <cellStyle name="Comma 5 2" xfId="863" xr:uid="{00000000-0005-0000-0000-000018020000}"/>
    <cellStyle name="Comma 6" xfId="852" xr:uid="{00000000-0005-0000-0000-000019020000}"/>
    <cellStyle name="Comma 7" xfId="858" xr:uid="{00000000-0005-0000-0000-00001A020000}"/>
    <cellStyle name="Currency [1]" xfId="534" xr:uid="{00000000-0005-0000-0000-00001B020000}"/>
    <cellStyle name="Currency [2]" xfId="535" xr:uid="{00000000-0005-0000-0000-00001C020000}"/>
    <cellStyle name="Currency [3]" xfId="536" xr:uid="{00000000-0005-0000-0000-00001D020000}"/>
    <cellStyle name="Dash" xfId="537" xr:uid="{00000000-0005-0000-0000-00001E020000}"/>
    <cellStyle name="Date" xfId="538" xr:uid="{00000000-0005-0000-0000-00001F020000}"/>
    <cellStyle name="Date [D-M-Y]" xfId="539" xr:uid="{00000000-0005-0000-0000-000020020000}"/>
    <cellStyle name="Date [M/D/Y]" xfId="540" xr:uid="{00000000-0005-0000-0000-000021020000}"/>
    <cellStyle name="Date [M/Y]" xfId="541" xr:uid="{00000000-0005-0000-0000-000022020000}"/>
    <cellStyle name="Date [M-Y]" xfId="542" xr:uid="{00000000-0005-0000-0000-000023020000}"/>
    <cellStyle name="Date_Evolutie 2003-2007 pt raport 2006" xfId="543" xr:uid="{00000000-0005-0000-0000-000024020000}"/>
    <cellStyle name="Eronat" xfId="544" xr:uid="{00000000-0005-0000-0000-000025020000}"/>
    <cellStyle name="Euro" xfId="545" xr:uid="{00000000-0005-0000-0000-000026020000}"/>
    <cellStyle name="Explanatory Text 10" xfId="546" xr:uid="{00000000-0005-0000-0000-000027020000}"/>
    <cellStyle name="Explanatory Text 11" xfId="547" xr:uid="{00000000-0005-0000-0000-000028020000}"/>
    <cellStyle name="Explanatory Text 12" xfId="548" xr:uid="{00000000-0005-0000-0000-000029020000}"/>
    <cellStyle name="Explanatory Text 2" xfId="549" xr:uid="{00000000-0005-0000-0000-00002A020000}"/>
    <cellStyle name="Explanatory Text 2 2" xfId="550" xr:uid="{00000000-0005-0000-0000-00002B020000}"/>
    <cellStyle name="Explanatory Text 2 3" xfId="551" xr:uid="{00000000-0005-0000-0000-00002C020000}"/>
    <cellStyle name="Explanatory Text 3" xfId="552" xr:uid="{00000000-0005-0000-0000-00002D020000}"/>
    <cellStyle name="Explanatory Text 3 2" xfId="553" xr:uid="{00000000-0005-0000-0000-00002E020000}"/>
    <cellStyle name="Explanatory Text 3 3" xfId="554" xr:uid="{00000000-0005-0000-0000-00002F020000}"/>
    <cellStyle name="Explanatory Text 4" xfId="555" xr:uid="{00000000-0005-0000-0000-000030020000}"/>
    <cellStyle name="Explanatory Text 4 2" xfId="556" xr:uid="{00000000-0005-0000-0000-000031020000}"/>
    <cellStyle name="Explanatory Text 4 3" xfId="557" xr:uid="{00000000-0005-0000-0000-000032020000}"/>
    <cellStyle name="Explanatory Text 5" xfId="558" xr:uid="{00000000-0005-0000-0000-000033020000}"/>
    <cellStyle name="Explanatory Text 6" xfId="559" xr:uid="{00000000-0005-0000-0000-000034020000}"/>
    <cellStyle name="Explanatory Text 7" xfId="560" xr:uid="{00000000-0005-0000-0000-000035020000}"/>
    <cellStyle name="Explanatory Text 8" xfId="561" xr:uid="{00000000-0005-0000-0000-000036020000}"/>
    <cellStyle name="Explanatory Text 9" xfId="562" xr:uid="{00000000-0005-0000-0000-000037020000}"/>
    <cellStyle name="Fraction" xfId="563" xr:uid="{00000000-0005-0000-0000-000038020000}"/>
    <cellStyle name="Fraction [8]" xfId="564" xr:uid="{00000000-0005-0000-0000-000039020000}"/>
    <cellStyle name="Fraction [Bl]" xfId="565" xr:uid="{00000000-0005-0000-0000-00003A020000}"/>
    <cellStyle name="Fraction_Evolutie 2003-2007 pt raport 2006" xfId="566" xr:uid="{00000000-0005-0000-0000-00003B020000}"/>
    <cellStyle name="Good 10" xfId="567" xr:uid="{00000000-0005-0000-0000-00003C020000}"/>
    <cellStyle name="Good 11" xfId="568" xr:uid="{00000000-0005-0000-0000-00003D020000}"/>
    <cellStyle name="Good 12" xfId="569" xr:uid="{00000000-0005-0000-0000-00003E020000}"/>
    <cellStyle name="Good 2" xfId="570" xr:uid="{00000000-0005-0000-0000-00003F020000}"/>
    <cellStyle name="Good 2 2" xfId="571" xr:uid="{00000000-0005-0000-0000-000040020000}"/>
    <cellStyle name="Good 2 3" xfId="572" xr:uid="{00000000-0005-0000-0000-000041020000}"/>
    <cellStyle name="Good 3" xfId="573" xr:uid="{00000000-0005-0000-0000-000042020000}"/>
    <cellStyle name="Good 3 2" xfId="574" xr:uid="{00000000-0005-0000-0000-000043020000}"/>
    <cellStyle name="Good 3 3" xfId="575" xr:uid="{00000000-0005-0000-0000-000044020000}"/>
    <cellStyle name="Good 4" xfId="576" xr:uid="{00000000-0005-0000-0000-000045020000}"/>
    <cellStyle name="Good 4 2" xfId="577" xr:uid="{00000000-0005-0000-0000-000046020000}"/>
    <cellStyle name="Good 4 3" xfId="578" xr:uid="{00000000-0005-0000-0000-000047020000}"/>
    <cellStyle name="Good 5" xfId="579" xr:uid="{00000000-0005-0000-0000-000048020000}"/>
    <cellStyle name="Good 6" xfId="580" xr:uid="{00000000-0005-0000-0000-000049020000}"/>
    <cellStyle name="Good 7" xfId="581" xr:uid="{00000000-0005-0000-0000-00004A020000}"/>
    <cellStyle name="Good 8" xfId="582" xr:uid="{00000000-0005-0000-0000-00004B020000}"/>
    <cellStyle name="Good 9" xfId="583" xr:uid="{00000000-0005-0000-0000-00004C020000}"/>
    <cellStyle name="Heading 1 10" xfId="584" xr:uid="{00000000-0005-0000-0000-00004D020000}"/>
    <cellStyle name="Heading 1 11" xfId="585" xr:uid="{00000000-0005-0000-0000-00004E020000}"/>
    <cellStyle name="Heading 1 12" xfId="586" xr:uid="{00000000-0005-0000-0000-00004F020000}"/>
    <cellStyle name="Heading 1 2" xfId="587" xr:uid="{00000000-0005-0000-0000-000050020000}"/>
    <cellStyle name="Heading 1 2 2" xfId="588" xr:uid="{00000000-0005-0000-0000-000051020000}"/>
    <cellStyle name="Heading 1 2 3" xfId="589" xr:uid="{00000000-0005-0000-0000-000052020000}"/>
    <cellStyle name="Heading 1 3" xfId="590" xr:uid="{00000000-0005-0000-0000-000053020000}"/>
    <cellStyle name="Heading 1 3 2" xfId="591" xr:uid="{00000000-0005-0000-0000-000054020000}"/>
    <cellStyle name="Heading 1 3 3" xfId="592" xr:uid="{00000000-0005-0000-0000-000055020000}"/>
    <cellStyle name="Heading 1 4" xfId="593" xr:uid="{00000000-0005-0000-0000-000056020000}"/>
    <cellStyle name="Heading 1 4 2" xfId="594" xr:uid="{00000000-0005-0000-0000-000057020000}"/>
    <cellStyle name="Heading 1 4 3" xfId="595" xr:uid="{00000000-0005-0000-0000-000058020000}"/>
    <cellStyle name="Heading 1 5" xfId="596" xr:uid="{00000000-0005-0000-0000-000059020000}"/>
    <cellStyle name="Heading 1 6" xfId="597" xr:uid="{00000000-0005-0000-0000-00005A020000}"/>
    <cellStyle name="Heading 1 7" xfId="598" xr:uid="{00000000-0005-0000-0000-00005B020000}"/>
    <cellStyle name="Heading 1 8" xfId="599" xr:uid="{00000000-0005-0000-0000-00005C020000}"/>
    <cellStyle name="Heading 1 9" xfId="600" xr:uid="{00000000-0005-0000-0000-00005D020000}"/>
    <cellStyle name="Heading 2 10" xfId="601" xr:uid="{00000000-0005-0000-0000-00005E020000}"/>
    <cellStyle name="Heading 2 11" xfId="602" xr:uid="{00000000-0005-0000-0000-00005F020000}"/>
    <cellStyle name="Heading 2 12" xfId="603" xr:uid="{00000000-0005-0000-0000-000060020000}"/>
    <cellStyle name="Heading 2 2" xfId="604" xr:uid="{00000000-0005-0000-0000-000061020000}"/>
    <cellStyle name="Heading 2 2 2" xfId="605" xr:uid="{00000000-0005-0000-0000-000062020000}"/>
    <cellStyle name="Heading 2 2 3" xfId="606" xr:uid="{00000000-0005-0000-0000-000063020000}"/>
    <cellStyle name="Heading 2 3" xfId="607" xr:uid="{00000000-0005-0000-0000-000064020000}"/>
    <cellStyle name="Heading 2 3 2" xfId="608" xr:uid="{00000000-0005-0000-0000-000065020000}"/>
    <cellStyle name="Heading 2 3 3" xfId="609" xr:uid="{00000000-0005-0000-0000-000066020000}"/>
    <cellStyle name="Heading 2 4" xfId="610" xr:uid="{00000000-0005-0000-0000-000067020000}"/>
    <cellStyle name="Heading 2 4 2" xfId="611" xr:uid="{00000000-0005-0000-0000-000068020000}"/>
    <cellStyle name="Heading 2 4 3" xfId="612" xr:uid="{00000000-0005-0000-0000-000069020000}"/>
    <cellStyle name="Heading 2 5" xfId="613" xr:uid="{00000000-0005-0000-0000-00006A020000}"/>
    <cellStyle name="Heading 2 6" xfId="614" xr:uid="{00000000-0005-0000-0000-00006B020000}"/>
    <cellStyle name="Heading 2 7" xfId="615" xr:uid="{00000000-0005-0000-0000-00006C020000}"/>
    <cellStyle name="Heading 2 8" xfId="616" xr:uid="{00000000-0005-0000-0000-00006D020000}"/>
    <cellStyle name="Heading 2 9" xfId="617" xr:uid="{00000000-0005-0000-0000-00006E020000}"/>
    <cellStyle name="Heading 3 10" xfId="618" xr:uid="{00000000-0005-0000-0000-00006F020000}"/>
    <cellStyle name="Heading 3 11" xfId="619" xr:uid="{00000000-0005-0000-0000-000070020000}"/>
    <cellStyle name="Heading 3 12" xfId="620" xr:uid="{00000000-0005-0000-0000-000071020000}"/>
    <cellStyle name="Heading 3 2" xfId="621" xr:uid="{00000000-0005-0000-0000-000072020000}"/>
    <cellStyle name="Heading 3 2 2" xfId="622" xr:uid="{00000000-0005-0000-0000-000073020000}"/>
    <cellStyle name="Heading 3 2 3" xfId="623" xr:uid="{00000000-0005-0000-0000-000074020000}"/>
    <cellStyle name="Heading 3 3" xfId="624" xr:uid="{00000000-0005-0000-0000-000075020000}"/>
    <cellStyle name="Heading 3 3 2" xfId="625" xr:uid="{00000000-0005-0000-0000-000076020000}"/>
    <cellStyle name="Heading 3 3 3" xfId="626" xr:uid="{00000000-0005-0000-0000-000077020000}"/>
    <cellStyle name="Heading 3 4" xfId="627" xr:uid="{00000000-0005-0000-0000-000078020000}"/>
    <cellStyle name="Heading 3 4 2" xfId="628" xr:uid="{00000000-0005-0000-0000-000079020000}"/>
    <cellStyle name="Heading 3 4 3" xfId="629" xr:uid="{00000000-0005-0000-0000-00007A020000}"/>
    <cellStyle name="Heading 3 5" xfId="630" xr:uid="{00000000-0005-0000-0000-00007B020000}"/>
    <cellStyle name="Heading 3 6" xfId="631" xr:uid="{00000000-0005-0000-0000-00007C020000}"/>
    <cellStyle name="Heading 3 7" xfId="632" xr:uid="{00000000-0005-0000-0000-00007D020000}"/>
    <cellStyle name="Heading 3 8" xfId="633" xr:uid="{00000000-0005-0000-0000-00007E020000}"/>
    <cellStyle name="Heading 3 9" xfId="634" xr:uid="{00000000-0005-0000-0000-00007F020000}"/>
    <cellStyle name="Heading 4 10" xfId="635" xr:uid="{00000000-0005-0000-0000-000080020000}"/>
    <cellStyle name="Heading 4 11" xfId="636" xr:uid="{00000000-0005-0000-0000-000081020000}"/>
    <cellStyle name="Heading 4 12" xfId="637" xr:uid="{00000000-0005-0000-0000-000082020000}"/>
    <cellStyle name="Heading 4 2" xfId="638" xr:uid="{00000000-0005-0000-0000-000083020000}"/>
    <cellStyle name="Heading 4 2 2" xfId="639" xr:uid="{00000000-0005-0000-0000-000084020000}"/>
    <cellStyle name="Heading 4 2 3" xfId="640" xr:uid="{00000000-0005-0000-0000-000085020000}"/>
    <cellStyle name="Heading 4 3" xfId="641" xr:uid="{00000000-0005-0000-0000-000086020000}"/>
    <cellStyle name="Heading 4 3 2" xfId="642" xr:uid="{00000000-0005-0000-0000-000087020000}"/>
    <cellStyle name="Heading 4 3 3" xfId="643" xr:uid="{00000000-0005-0000-0000-000088020000}"/>
    <cellStyle name="Heading 4 4" xfId="644" xr:uid="{00000000-0005-0000-0000-000089020000}"/>
    <cellStyle name="Heading 4 4 2" xfId="645" xr:uid="{00000000-0005-0000-0000-00008A020000}"/>
    <cellStyle name="Heading 4 4 3" xfId="646" xr:uid="{00000000-0005-0000-0000-00008B020000}"/>
    <cellStyle name="Heading 4 5" xfId="647" xr:uid="{00000000-0005-0000-0000-00008C020000}"/>
    <cellStyle name="Heading 4 6" xfId="648" xr:uid="{00000000-0005-0000-0000-00008D020000}"/>
    <cellStyle name="Heading 4 7" xfId="649" xr:uid="{00000000-0005-0000-0000-00008E020000}"/>
    <cellStyle name="Heading 4 8" xfId="650" xr:uid="{00000000-0005-0000-0000-00008F020000}"/>
    <cellStyle name="Heading 4 9" xfId="651" xr:uid="{00000000-0005-0000-0000-000090020000}"/>
    <cellStyle name="Hidden" xfId="652" xr:uid="{00000000-0005-0000-0000-000091020000}"/>
    <cellStyle name="Hyperlink 2" xfId="866" xr:uid="{00000000-0005-0000-0000-000092020000}"/>
    <cellStyle name="Ieșire" xfId="653" xr:uid="{00000000-0005-0000-0000-000093020000}"/>
    <cellStyle name="Input 10" xfId="654" xr:uid="{00000000-0005-0000-0000-000094020000}"/>
    <cellStyle name="Input 11" xfId="655" xr:uid="{00000000-0005-0000-0000-000095020000}"/>
    <cellStyle name="Input 12" xfId="656" xr:uid="{00000000-0005-0000-0000-000096020000}"/>
    <cellStyle name="Input 2" xfId="657" xr:uid="{00000000-0005-0000-0000-000097020000}"/>
    <cellStyle name="Input 2 2" xfId="658" xr:uid="{00000000-0005-0000-0000-000098020000}"/>
    <cellStyle name="Input 2 3" xfId="659" xr:uid="{00000000-0005-0000-0000-000099020000}"/>
    <cellStyle name="Input 3" xfId="660" xr:uid="{00000000-0005-0000-0000-00009A020000}"/>
    <cellStyle name="Input 3 2" xfId="661" xr:uid="{00000000-0005-0000-0000-00009B020000}"/>
    <cellStyle name="Input 3 3" xfId="662" xr:uid="{00000000-0005-0000-0000-00009C020000}"/>
    <cellStyle name="Input 4" xfId="663" xr:uid="{00000000-0005-0000-0000-00009D020000}"/>
    <cellStyle name="Input 4 2" xfId="664" xr:uid="{00000000-0005-0000-0000-00009E020000}"/>
    <cellStyle name="Input 4 3" xfId="665" xr:uid="{00000000-0005-0000-0000-00009F020000}"/>
    <cellStyle name="Input 5" xfId="666" xr:uid="{00000000-0005-0000-0000-0000A0020000}"/>
    <cellStyle name="Input 6" xfId="667" xr:uid="{00000000-0005-0000-0000-0000A1020000}"/>
    <cellStyle name="Input 7" xfId="668" xr:uid="{00000000-0005-0000-0000-0000A2020000}"/>
    <cellStyle name="Input 8" xfId="669" xr:uid="{00000000-0005-0000-0000-0000A3020000}"/>
    <cellStyle name="Input 9" xfId="670" xr:uid="{00000000-0005-0000-0000-0000A4020000}"/>
    <cellStyle name="Intrare" xfId="671" xr:uid="{00000000-0005-0000-0000-0000A5020000}"/>
    <cellStyle name="Linked Cell 10" xfId="672" xr:uid="{00000000-0005-0000-0000-0000A6020000}"/>
    <cellStyle name="Linked Cell 11" xfId="673" xr:uid="{00000000-0005-0000-0000-0000A7020000}"/>
    <cellStyle name="Linked Cell 12" xfId="674" xr:uid="{00000000-0005-0000-0000-0000A8020000}"/>
    <cellStyle name="Linked Cell 2" xfId="675" xr:uid="{00000000-0005-0000-0000-0000A9020000}"/>
    <cellStyle name="Linked Cell 2 2" xfId="676" xr:uid="{00000000-0005-0000-0000-0000AA020000}"/>
    <cellStyle name="Linked Cell 2 3" xfId="677" xr:uid="{00000000-0005-0000-0000-0000AB020000}"/>
    <cellStyle name="Linked Cell 3" xfId="678" xr:uid="{00000000-0005-0000-0000-0000AC020000}"/>
    <cellStyle name="Linked Cell 3 2" xfId="679" xr:uid="{00000000-0005-0000-0000-0000AD020000}"/>
    <cellStyle name="Linked Cell 3 3" xfId="680" xr:uid="{00000000-0005-0000-0000-0000AE020000}"/>
    <cellStyle name="Linked Cell 4" xfId="681" xr:uid="{00000000-0005-0000-0000-0000AF020000}"/>
    <cellStyle name="Linked Cell 4 2" xfId="682" xr:uid="{00000000-0005-0000-0000-0000B0020000}"/>
    <cellStyle name="Linked Cell 4 3" xfId="683" xr:uid="{00000000-0005-0000-0000-0000B1020000}"/>
    <cellStyle name="Linked Cell 5" xfId="684" xr:uid="{00000000-0005-0000-0000-0000B2020000}"/>
    <cellStyle name="Linked Cell 6" xfId="685" xr:uid="{00000000-0005-0000-0000-0000B3020000}"/>
    <cellStyle name="Linked Cell 7" xfId="686" xr:uid="{00000000-0005-0000-0000-0000B4020000}"/>
    <cellStyle name="Linked Cell 8" xfId="687" xr:uid="{00000000-0005-0000-0000-0000B5020000}"/>
    <cellStyle name="Linked Cell 9" xfId="688" xr:uid="{00000000-0005-0000-0000-0000B6020000}"/>
    <cellStyle name="Neutral 10" xfId="689" xr:uid="{00000000-0005-0000-0000-0000B7020000}"/>
    <cellStyle name="Neutral 11" xfId="690" xr:uid="{00000000-0005-0000-0000-0000B8020000}"/>
    <cellStyle name="Neutral 12" xfId="691" xr:uid="{00000000-0005-0000-0000-0000B9020000}"/>
    <cellStyle name="Neutral 2" xfId="692" xr:uid="{00000000-0005-0000-0000-0000BA020000}"/>
    <cellStyle name="Neutral 2 2" xfId="693" xr:uid="{00000000-0005-0000-0000-0000BB020000}"/>
    <cellStyle name="Neutral 2 3" xfId="694" xr:uid="{00000000-0005-0000-0000-0000BC020000}"/>
    <cellStyle name="Neutral 3" xfId="695" xr:uid="{00000000-0005-0000-0000-0000BD020000}"/>
    <cellStyle name="Neutral 3 2" xfId="696" xr:uid="{00000000-0005-0000-0000-0000BE020000}"/>
    <cellStyle name="Neutral 3 3" xfId="697" xr:uid="{00000000-0005-0000-0000-0000BF020000}"/>
    <cellStyle name="Neutral 4" xfId="698" xr:uid="{00000000-0005-0000-0000-0000C0020000}"/>
    <cellStyle name="Neutral 4 2" xfId="699" xr:uid="{00000000-0005-0000-0000-0000C1020000}"/>
    <cellStyle name="Neutral 4 3" xfId="700" xr:uid="{00000000-0005-0000-0000-0000C2020000}"/>
    <cellStyle name="Neutral 5" xfId="701" xr:uid="{00000000-0005-0000-0000-0000C3020000}"/>
    <cellStyle name="Neutral 6" xfId="702" xr:uid="{00000000-0005-0000-0000-0000C4020000}"/>
    <cellStyle name="Neutral 7" xfId="703" xr:uid="{00000000-0005-0000-0000-0000C5020000}"/>
    <cellStyle name="Neutral 8" xfId="704" xr:uid="{00000000-0005-0000-0000-0000C6020000}"/>
    <cellStyle name="Neutral 9" xfId="705" xr:uid="{00000000-0005-0000-0000-0000C7020000}"/>
    <cellStyle name="Neutru" xfId="706" xr:uid="{00000000-0005-0000-0000-0000C8020000}"/>
    <cellStyle name="Normal" xfId="0" builtinId="0"/>
    <cellStyle name="Normal - Style1" xfId="707" xr:uid="{00000000-0005-0000-0000-0000CA020000}"/>
    <cellStyle name="Normal 10" xfId="708" xr:uid="{00000000-0005-0000-0000-0000CB020000}"/>
    <cellStyle name="Normal 10 2" xfId="869" xr:uid="{00000000-0005-0000-0000-0000CC020000}"/>
    <cellStyle name="Normal 11" xfId="709" xr:uid="{00000000-0005-0000-0000-0000CD020000}"/>
    <cellStyle name="Normal 11 2" xfId="870" xr:uid="{00000000-0005-0000-0000-0000CE020000}"/>
    <cellStyle name="Normal 12" xfId="710" xr:uid="{00000000-0005-0000-0000-0000CF020000}"/>
    <cellStyle name="Normal 12 2" xfId="871" xr:uid="{00000000-0005-0000-0000-0000D0020000}"/>
    <cellStyle name="Normal 13" xfId="835" xr:uid="{00000000-0005-0000-0000-0000D1020000}"/>
    <cellStyle name="Normal 14" xfId="838" xr:uid="{00000000-0005-0000-0000-0000D2020000}"/>
    <cellStyle name="Normal 15" xfId="841" xr:uid="{00000000-0005-0000-0000-0000D3020000}"/>
    <cellStyle name="Normal 16" xfId="845" xr:uid="{00000000-0005-0000-0000-0000D4020000}"/>
    <cellStyle name="Normal 17" xfId="848" xr:uid="{00000000-0005-0000-0000-0000D5020000}"/>
    <cellStyle name="Normal 17 2" xfId="862" xr:uid="{00000000-0005-0000-0000-0000D6020000}"/>
    <cellStyle name="Normal 18" xfId="850" xr:uid="{00000000-0005-0000-0000-0000D7020000}"/>
    <cellStyle name="Normal 19" xfId="855" xr:uid="{00000000-0005-0000-0000-0000D8020000}"/>
    <cellStyle name="Normal 2" xfId="711" xr:uid="{00000000-0005-0000-0000-0000D9020000}"/>
    <cellStyle name="Normal 2 2" xfId="712" xr:uid="{00000000-0005-0000-0000-0000DA020000}"/>
    <cellStyle name="Normal 2 3" xfId="713" xr:uid="{00000000-0005-0000-0000-0000DB020000}"/>
    <cellStyle name="Normal 2_Estimations TUD - District 6 TRP 06.08.09" xfId="714" xr:uid="{00000000-0005-0000-0000-0000DC020000}"/>
    <cellStyle name="Normal 20" xfId="891" xr:uid="{00000000-0005-0000-0000-0000DD020000}"/>
    <cellStyle name="Normal 21" xfId="892" xr:uid="{CCB56C4A-A06E-4268-A8AF-4C244582F24C}"/>
    <cellStyle name="Normal 3" xfId="715" xr:uid="{00000000-0005-0000-0000-0000DE020000}"/>
    <cellStyle name="Normal 3 2" xfId="867" xr:uid="{00000000-0005-0000-0000-0000DF020000}"/>
    <cellStyle name="Normal 4" xfId="716" xr:uid="{00000000-0005-0000-0000-0000E0020000}"/>
    <cellStyle name="Normal 4 2" xfId="717" xr:uid="{00000000-0005-0000-0000-0000E1020000}"/>
    <cellStyle name="Normal 4 3" xfId="718" xr:uid="{00000000-0005-0000-0000-0000E2020000}"/>
    <cellStyle name="Normal 4 4" xfId="872" xr:uid="{00000000-0005-0000-0000-0000E3020000}"/>
    <cellStyle name="Normal 5" xfId="719" xr:uid="{00000000-0005-0000-0000-0000E4020000}"/>
    <cellStyle name="Normal 5 2" xfId="873" xr:uid="{00000000-0005-0000-0000-0000E5020000}"/>
    <cellStyle name="Normal 6" xfId="720" xr:uid="{00000000-0005-0000-0000-0000E6020000}"/>
    <cellStyle name="Normal 6 2" xfId="874" xr:uid="{00000000-0005-0000-0000-0000E7020000}"/>
    <cellStyle name="Normal 7" xfId="721" xr:uid="{00000000-0005-0000-0000-0000E8020000}"/>
    <cellStyle name="Normal 7 2" xfId="875" xr:uid="{00000000-0005-0000-0000-0000E9020000}"/>
    <cellStyle name="Normal 8" xfId="722" xr:uid="{00000000-0005-0000-0000-0000EA020000}"/>
    <cellStyle name="Normal 8 2" xfId="876" xr:uid="{00000000-0005-0000-0000-0000EB020000}"/>
    <cellStyle name="Normal 9" xfId="723" xr:uid="{00000000-0005-0000-0000-0000EC020000}"/>
    <cellStyle name="Normal 9 2" xfId="877" xr:uid="{00000000-0005-0000-0000-0000ED020000}"/>
    <cellStyle name="Normal_Anexa 1.3 - S1 Calcul grd.indt 22.02.2010" xfId="842" xr:uid="{00000000-0005-0000-0000-0000EE020000}"/>
    <cellStyle name="Normal_Anexa 1.3 - SG Calcul grd.indt 12.04.2010" xfId="1" xr:uid="{00000000-0005-0000-0000-0000EF020000}"/>
    <cellStyle name="Normal_Anexa 1.4 - SG Serviciul Datoriei Publice 12.04.2010" xfId="724" xr:uid="{00000000-0005-0000-0000-0000F0020000}"/>
    <cellStyle name="Normal_Evolutie V&amp;C 2003-2010_Eforie Serviciul datoriei 27.04.2011 v1" xfId="857" xr:uid="{00000000-0005-0000-0000-0000F1020000}"/>
    <cellStyle name="Normal_mach03_Eforie Serviciul datoriei 27.04.2011 v1" xfId="856" xr:uid="{00000000-0005-0000-0000-0000F2020000}"/>
    <cellStyle name="Normal_mach31" xfId="837" xr:uid="{00000000-0005-0000-0000-0000F3020000}"/>
    <cellStyle name="Normal_mach31 2" xfId="854" xr:uid="{00000000-0005-0000-0000-0000F4020000}"/>
    <cellStyle name="Normale 2" xfId="725" xr:uid="{00000000-0005-0000-0000-0000F5020000}"/>
    <cellStyle name="Notă" xfId="726" xr:uid="{00000000-0005-0000-0000-0000F6020000}"/>
    <cellStyle name="Note 10" xfId="727" xr:uid="{00000000-0005-0000-0000-0000F7020000}"/>
    <cellStyle name="Note 10 2" xfId="878" xr:uid="{00000000-0005-0000-0000-0000F8020000}"/>
    <cellStyle name="Note 11" xfId="728" xr:uid="{00000000-0005-0000-0000-0000F9020000}"/>
    <cellStyle name="Note 11 2" xfId="879" xr:uid="{00000000-0005-0000-0000-0000FA020000}"/>
    <cellStyle name="Note 12" xfId="729" xr:uid="{00000000-0005-0000-0000-0000FB020000}"/>
    <cellStyle name="Note 12 2" xfId="880" xr:uid="{00000000-0005-0000-0000-0000FC020000}"/>
    <cellStyle name="Note 2" xfId="730" xr:uid="{00000000-0005-0000-0000-0000FD020000}"/>
    <cellStyle name="Note 2 2" xfId="881" xr:uid="{00000000-0005-0000-0000-0000FE020000}"/>
    <cellStyle name="Note 3" xfId="731" xr:uid="{00000000-0005-0000-0000-0000FF020000}"/>
    <cellStyle name="Note 3 2" xfId="882" xr:uid="{00000000-0005-0000-0000-000000030000}"/>
    <cellStyle name="Note 4" xfId="732" xr:uid="{00000000-0005-0000-0000-000001030000}"/>
    <cellStyle name="Note 4 2" xfId="883" xr:uid="{00000000-0005-0000-0000-000002030000}"/>
    <cellStyle name="Note 5" xfId="733" xr:uid="{00000000-0005-0000-0000-000003030000}"/>
    <cellStyle name="Note 5 2" xfId="884" xr:uid="{00000000-0005-0000-0000-000004030000}"/>
    <cellStyle name="Note 6" xfId="734" xr:uid="{00000000-0005-0000-0000-000005030000}"/>
    <cellStyle name="Note 6 2" xfId="885" xr:uid="{00000000-0005-0000-0000-000006030000}"/>
    <cellStyle name="Note 7" xfId="735" xr:uid="{00000000-0005-0000-0000-000007030000}"/>
    <cellStyle name="Note 7 2" xfId="886" xr:uid="{00000000-0005-0000-0000-000008030000}"/>
    <cellStyle name="Note 8" xfId="736" xr:uid="{00000000-0005-0000-0000-000009030000}"/>
    <cellStyle name="Note 8 2" xfId="887" xr:uid="{00000000-0005-0000-0000-00000A030000}"/>
    <cellStyle name="Note 9" xfId="737" xr:uid="{00000000-0005-0000-0000-00000B030000}"/>
    <cellStyle name="Note 9 2" xfId="888" xr:uid="{00000000-0005-0000-0000-00000C030000}"/>
    <cellStyle name="Output 10" xfId="738" xr:uid="{00000000-0005-0000-0000-00000D030000}"/>
    <cellStyle name="Output 11" xfId="739" xr:uid="{00000000-0005-0000-0000-00000E030000}"/>
    <cellStyle name="Output 12" xfId="740" xr:uid="{00000000-0005-0000-0000-00000F030000}"/>
    <cellStyle name="Output 2" xfId="741" xr:uid="{00000000-0005-0000-0000-000010030000}"/>
    <cellStyle name="Output 2 2" xfId="742" xr:uid="{00000000-0005-0000-0000-000011030000}"/>
    <cellStyle name="Output 2 3" xfId="743" xr:uid="{00000000-0005-0000-0000-000012030000}"/>
    <cellStyle name="Output 3" xfId="744" xr:uid="{00000000-0005-0000-0000-000013030000}"/>
    <cellStyle name="Output 3 2" xfId="745" xr:uid="{00000000-0005-0000-0000-000014030000}"/>
    <cellStyle name="Output 3 3" xfId="746" xr:uid="{00000000-0005-0000-0000-000015030000}"/>
    <cellStyle name="Output 4" xfId="747" xr:uid="{00000000-0005-0000-0000-000016030000}"/>
    <cellStyle name="Output 4 2" xfId="748" xr:uid="{00000000-0005-0000-0000-000017030000}"/>
    <cellStyle name="Output 4 3" xfId="749" xr:uid="{00000000-0005-0000-0000-000018030000}"/>
    <cellStyle name="Output 5" xfId="750" xr:uid="{00000000-0005-0000-0000-000019030000}"/>
    <cellStyle name="Output 6" xfId="751" xr:uid="{00000000-0005-0000-0000-00001A030000}"/>
    <cellStyle name="Output 7" xfId="752" xr:uid="{00000000-0005-0000-0000-00001B030000}"/>
    <cellStyle name="Output 8" xfId="753" xr:uid="{00000000-0005-0000-0000-00001C030000}"/>
    <cellStyle name="Output 9" xfId="754" xr:uid="{00000000-0005-0000-0000-00001D030000}"/>
    <cellStyle name="Percent" xfId="853" builtinId="5"/>
    <cellStyle name="Percent [1]" xfId="755" xr:uid="{00000000-0005-0000-0000-00001F030000}"/>
    <cellStyle name="Percent [2]" xfId="756" xr:uid="{00000000-0005-0000-0000-000020030000}"/>
    <cellStyle name="Percent [3]" xfId="757" xr:uid="{00000000-0005-0000-0000-000021030000}"/>
    <cellStyle name="Percent 2" xfId="758" xr:uid="{00000000-0005-0000-0000-000022030000}"/>
    <cellStyle name="Percent 2 2" xfId="851" xr:uid="{00000000-0005-0000-0000-000023030000}"/>
    <cellStyle name="Percent 2 2 2" xfId="889" xr:uid="{00000000-0005-0000-0000-000024030000}"/>
    <cellStyle name="Percent 2 3" xfId="860" xr:uid="{00000000-0005-0000-0000-000025030000}"/>
    <cellStyle name="Percent 3" xfId="759" xr:uid="{00000000-0005-0000-0000-000026030000}"/>
    <cellStyle name="Percent 3 2" xfId="847" xr:uid="{00000000-0005-0000-0000-000027030000}"/>
    <cellStyle name="Percent 3 2 2" xfId="868" xr:uid="{00000000-0005-0000-0000-000028030000}"/>
    <cellStyle name="Percent 4" xfId="836" xr:uid="{00000000-0005-0000-0000-000029030000}"/>
    <cellStyle name="Percent 4 2" xfId="861" xr:uid="{00000000-0005-0000-0000-00002A030000}"/>
    <cellStyle name="Percent 5" xfId="839" xr:uid="{00000000-0005-0000-0000-00002B030000}"/>
    <cellStyle name="Percent 5 2" xfId="890" xr:uid="{00000000-0005-0000-0000-00002C030000}"/>
    <cellStyle name="Percent 6" xfId="859" xr:uid="{00000000-0005-0000-0000-00002D030000}"/>
    <cellStyle name="Percent 6 2" xfId="864" xr:uid="{00000000-0005-0000-0000-00002E030000}"/>
    <cellStyle name="Percent_Anexa 1.3 - S1 Calcul grd.indt 22.02.2010" xfId="843" xr:uid="{00000000-0005-0000-0000-00002F030000}"/>
    <cellStyle name="Percent_Anexa 1.3 - SG Calcul grd.indt 12.04.2010" xfId="2" xr:uid="{00000000-0005-0000-0000-000030030000}"/>
    <cellStyle name="Text [Bullet]" xfId="760" xr:uid="{00000000-0005-0000-0000-000031030000}"/>
    <cellStyle name="Text [Dash]" xfId="761" xr:uid="{00000000-0005-0000-0000-000032030000}"/>
    <cellStyle name="Text [Em-Dash]" xfId="762" xr:uid="{00000000-0005-0000-0000-000033030000}"/>
    <cellStyle name="Text avertisment" xfId="763" xr:uid="{00000000-0005-0000-0000-000034030000}"/>
    <cellStyle name="Text explicativ" xfId="764" xr:uid="{00000000-0005-0000-0000-000035030000}"/>
    <cellStyle name="Times" xfId="765" xr:uid="{00000000-0005-0000-0000-000036030000}"/>
    <cellStyle name="Times [1]" xfId="766" xr:uid="{00000000-0005-0000-0000-000037030000}"/>
    <cellStyle name="Times [2]" xfId="767" xr:uid="{00000000-0005-0000-0000-000038030000}"/>
    <cellStyle name="Times_Evolutie 2003-2007 pt raport 2006" xfId="768" xr:uid="{00000000-0005-0000-0000-000039030000}"/>
    <cellStyle name="Title 10" xfId="769" xr:uid="{00000000-0005-0000-0000-00003A030000}"/>
    <cellStyle name="Title 11" xfId="770" xr:uid="{00000000-0005-0000-0000-00003B030000}"/>
    <cellStyle name="Title 12" xfId="771" xr:uid="{00000000-0005-0000-0000-00003C030000}"/>
    <cellStyle name="Title 2" xfId="772" xr:uid="{00000000-0005-0000-0000-00003D030000}"/>
    <cellStyle name="Title 2 2" xfId="773" xr:uid="{00000000-0005-0000-0000-00003E030000}"/>
    <cellStyle name="Title 2 3" xfId="774" xr:uid="{00000000-0005-0000-0000-00003F030000}"/>
    <cellStyle name="Title 3" xfId="775" xr:uid="{00000000-0005-0000-0000-000040030000}"/>
    <cellStyle name="Title 3 2" xfId="776" xr:uid="{00000000-0005-0000-0000-000041030000}"/>
    <cellStyle name="Title 3 3" xfId="777" xr:uid="{00000000-0005-0000-0000-000042030000}"/>
    <cellStyle name="Title 4" xfId="778" xr:uid="{00000000-0005-0000-0000-000043030000}"/>
    <cellStyle name="Title 4 2" xfId="779" xr:uid="{00000000-0005-0000-0000-000044030000}"/>
    <cellStyle name="Title 4 3" xfId="780" xr:uid="{00000000-0005-0000-0000-000045030000}"/>
    <cellStyle name="Title 5" xfId="781" xr:uid="{00000000-0005-0000-0000-000046030000}"/>
    <cellStyle name="Title 6" xfId="782" xr:uid="{00000000-0005-0000-0000-000047030000}"/>
    <cellStyle name="Title 7" xfId="783" xr:uid="{00000000-0005-0000-0000-000048030000}"/>
    <cellStyle name="Title 8" xfId="784" xr:uid="{00000000-0005-0000-0000-000049030000}"/>
    <cellStyle name="Title 9" xfId="785" xr:uid="{00000000-0005-0000-0000-00004A030000}"/>
    <cellStyle name="Titlu" xfId="786" xr:uid="{00000000-0005-0000-0000-00004B030000}"/>
    <cellStyle name="Titlu 1" xfId="787" xr:uid="{00000000-0005-0000-0000-00004C030000}"/>
    <cellStyle name="Titlu 2" xfId="788" xr:uid="{00000000-0005-0000-0000-00004D030000}"/>
    <cellStyle name="Titlu 3" xfId="789" xr:uid="{00000000-0005-0000-0000-00004E030000}"/>
    <cellStyle name="Titlu 4" xfId="790" xr:uid="{00000000-0005-0000-0000-00004F030000}"/>
    <cellStyle name="Total 10" xfId="791" xr:uid="{00000000-0005-0000-0000-000050030000}"/>
    <cellStyle name="Total 11" xfId="792" xr:uid="{00000000-0005-0000-0000-000051030000}"/>
    <cellStyle name="Total 12" xfId="793" xr:uid="{00000000-0005-0000-0000-000052030000}"/>
    <cellStyle name="Total 2" xfId="794" xr:uid="{00000000-0005-0000-0000-000053030000}"/>
    <cellStyle name="Total 2 2" xfId="795" xr:uid="{00000000-0005-0000-0000-000054030000}"/>
    <cellStyle name="Total 2 3" xfId="796" xr:uid="{00000000-0005-0000-0000-000055030000}"/>
    <cellStyle name="Total 3" xfId="797" xr:uid="{00000000-0005-0000-0000-000056030000}"/>
    <cellStyle name="Total 3 2" xfId="798" xr:uid="{00000000-0005-0000-0000-000057030000}"/>
    <cellStyle name="Total 3 3" xfId="799" xr:uid="{00000000-0005-0000-0000-000058030000}"/>
    <cellStyle name="Total 4" xfId="800" xr:uid="{00000000-0005-0000-0000-000059030000}"/>
    <cellStyle name="Total 4 2" xfId="801" xr:uid="{00000000-0005-0000-0000-00005A030000}"/>
    <cellStyle name="Total 4 3" xfId="802" xr:uid="{00000000-0005-0000-0000-00005B030000}"/>
    <cellStyle name="Total 5" xfId="803" xr:uid="{00000000-0005-0000-0000-00005C030000}"/>
    <cellStyle name="Total 6" xfId="804" xr:uid="{00000000-0005-0000-0000-00005D030000}"/>
    <cellStyle name="Total 7" xfId="805" xr:uid="{00000000-0005-0000-0000-00005E030000}"/>
    <cellStyle name="Total 8" xfId="806" xr:uid="{00000000-0005-0000-0000-00005F030000}"/>
    <cellStyle name="Total 9" xfId="807" xr:uid="{00000000-0005-0000-0000-000060030000}"/>
    <cellStyle name="Valuta 2" xfId="808" xr:uid="{00000000-0005-0000-0000-000061030000}"/>
    <cellStyle name="Verificare celulă" xfId="809" xr:uid="{00000000-0005-0000-0000-000062030000}"/>
    <cellStyle name="Virgulă_BUGET 2004 PE TRIMESTRE" xfId="810" xr:uid="{00000000-0005-0000-0000-000063030000}"/>
    <cellStyle name="Warning Text 10" xfId="811" xr:uid="{00000000-0005-0000-0000-000064030000}"/>
    <cellStyle name="Warning Text 11" xfId="812" xr:uid="{00000000-0005-0000-0000-000065030000}"/>
    <cellStyle name="Warning Text 12" xfId="813" xr:uid="{00000000-0005-0000-0000-000066030000}"/>
    <cellStyle name="Warning Text 2" xfId="814" xr:uid="{00000000-0005-0000-0000-000067030000}"/>
    <cellStyle name="Warning Text 2 2" xfId="815" xr:uid="{00000000-0005-0000-0000-000068030000}"/>
    <cellStyle name="Warning Text 2 3" xfId="816" xr:uid="{00000000-0005-0000-0000-000069030000}"/>
    <cellStyle name="Warning Text 3" xfId="817" xr:uid="{00000000-0005-0000-0000-00006A030000}"/>
    <cellStyle name="Warning Text 3 2" xfId="818" xr:uid="{00000000-0005-0000-0000-00006B030000}"/>
    <cellStyle name="Warning Text 3 3" xfId="819" xr:uid="{00000000-0005-0000-0000-00006C030000}"/>
    <cellStyle name="Warning Text 4" xfId="820" xr:uid="{00000000-0005-0000-0000-00006D030000}"/>
    <cellStyle name="Warning Text 4 2" xfId="821" xr:uid="{00000000-0005-0000-0000-00006E030000}"/>
    <cellStyle name="Warning Text 4 3" xfId="822" xr:uid="{00000000-0005-0000-0000-00006F030000}"/>
    <cellStyle name="Warning Text 5" xfId="823" xr:uid="{00000000-0005-0000-0000-000070030000}"/>
    <cellStyle name="Warning Text 6" xfId="824" xr:uid="{00000000-0005-0000-0000-000071030000}"/>
    <cellStyle name="Warning Text 7" xfId="825" xr:uid="{00000000-0005-0000-0000-000072030000}"/>
    <cellStyle name="Warning Text 8" xfId="826" xr:uid="{00000000-0005-0000-0000-000073030000}"/>
    <cellStyle name="Warning Text 9" xfId="827" xr:uid="{00000000-0005-0000-0000-000074030000}"/>
    <cellStyle name="ハイパーリンク" xfId="828" xr:uid="{00000000-0005-0000-0000-000075030000}"/>
    <cellStyle name="표준_Korean Portfolio II" xfId="829" xr:uid="{00000000-0005-0000-0000-000076030000}"/>
    <cellStyle name="桁?切り_SB" xfId="830" xr:uid="{00000000-0005-0000-0000-000077030000}"/>
    <cellStyle name="桁区切り_SB" xfId="831" xr:uid="{00000000-0005-0000-0000-000078030000}"/>
    <cellStyle name="標準_A" xfId="832" xr:uid="{00000000-0005-0000-0000-000079030000}"/>
    <cellStyle name="表旨巧・・ハイパーリンク" xfId="833" xr:uid="{00000000-0005-0000-0000-00007A030000}"/>
    <cellStyle name="表示済みのハイパーリンク" xfId="834" xr:uid="{00000000-0005-0000-0000-00007B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B17B-469D-BF9C-3BDFBFD6B56B}"/>
              </c:ext>
            </c:extLst>
          </c:dPt>
          <c:dPt>
            <c:idx val="1"/>
            <c:bubble3D val="0"/>
            <c:explosion val="41"/>
            <c:extLst>
              <c:ext xmlns:c16="http://schemas.microsoft.com/office/drawing/2014/chart" uri="{C3380CC4-5D6E-409C-BE32-E72D297353CC}">
                <c16:uniqueId val="{00000001-B17B-469D-BF9C-3BDFBFD6B56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credite rambursate</c:v>
              </c:pt>
            </c:strLit>
          </c:cat>
          <c:val>
            <c:numRef>
              <c:f>'serv datoriei 2021-2023'!$L$35:$M$35</c:f>
              <c:numCache>
                <c:formatCode>0%</c:formatCode>
                <c:ptCount val="2"/>
                <c:pt idx="0">
                  <c:v>6.7346568822352765E-2</c:v>
                </c:pt>
                <c:pt idx="1">
                  <c:v>5.3374137771307846E-2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7B-469D-BF9C-3BDFBFD6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9695975503062124"/>
          <c:y val="0.42091243802857981"/>
          <c:w val="0.26415135608048979"/>
          <c:h val="0.24613808690580344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ABF1-4DD8-94EB-6C2B6E88DF38}"/>
              </c:ext>
            </c:extLst>
          </c:dPt>
          <c:dPt>
            <c:idx val="1"/>
            <c:bubble3D val="0"/>
            <c:explosion val="41"/>
            <c:extLst>
              <c:ext xmlns:c16="http://schemas.microsoft.com/office/drawing/2014/chart" uri="{C3380CC4-5D6E-409C-BE32-E72D297353CC}">
                <c16:uniqueId val="{00000001-ABF1-4DD8-94EB-6C2B6E88DF3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credite rambursate</c:v>
              </c:pt>
            </c:strLit>
          </c:cat>
          <c:val>
            <c:numRef>
              <c:f>'serv datoriei'!$M$33:$N$33</c:f>
              <c:numCache>
                <c:formatCode>0%</c:formatCode>
                <c:ptCount val="2"/>
                <c:pt idx="0">
                  <c:v>0.27092388683875229</c:v>
                </c:pt>
                <c:pt idx="1">
                  <c:v>0.60898370403154534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1-4DD8-94EB-6C2B6E88D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9695975503062124"/>
          <c:y val="0.42091243802857981"/>
          <c:w val="0.26415135608048979"/>
          <c:h val="0.24613808690580344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5507436570428"/>
          <c:y val="7.4548702245552642E-2"/>
          <c:w val="0.80305477536522651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gradFill>
                <a:gsLst>
                  <a:gs pos="0">
                    <a:srgbClr val="C00000"/>
                  </a:gs>
                  <a:gs pos="13000">
                    <a:srgbClr val="0047FF"/>
                  </a:gs>
                  <a:gs pos="28000">
                    <a:srgbClr val="000082"/>
                  </a:gs>
                  <a:gs pos="42999">
                    <a:srgbClr val="0047FF"/>
                  </a:gs>
                  <a:gs pos="58000">
                    <a:srgbClr val="000082"/>
                  </a:gs>
                  <a:gs pos="72000">
                    <a:srgbClr val="0047FF"/>
                  </a:gs>
                  <a:gs pos="87000">
                    <a:srgbClr val="000082"/>
                  </a:gs>
                  <a:gs pos="100000">
                    <a:srgbClr val="0047FF"/>
                  </a:gs>
                </a:gsLst>
                <a:lin ang="5400000" scaled="0"/>
              </a:gradFill>
            </a:ln>
          </c:spPr>
          <c:cat>
            <c:numRef>
              <c:f>'SD Eforie 10 ani'!$E$5:$S$5</c:f>
              <c:numCache>
                <c:formatCode>General;[Red]\-General</c:formatCode>
                <c:ptCount val="1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</c:numCache>
            </c:numRef>
          </c:cat>
          <c:val>
            <c:numRef>
              <c:f>'SD Eforie 10 ani'!$E$20:$S$20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0.2111669712178629</c:v>
                </c:pt>
                <c:pt idx="3">
                  <c:v>0.23741138190777261</c:v>
                </c:pt>
                <c:pt idx="4">
                  <c:v>0.25640946845490797</c:v>
                </c:pt>
                <c:pt idx="5">
                  <c:v>0.24786422053772034</c:v>
                </c:pt>
                <c:pt idx="6">
                  <c:v>0.24349033645123488</c:v>
                </c:pt>
                <c:pt idx="7">
                  <c:v>0.24258130776248851</c:v>
                </c:pt>
                <c:pt idx="8">
                  <c:v>0.23320212536398144</c:v>
                </c:pt>
                <c:pt idx="9">
                  <c:v>0.2168812068960663</c:v>
                </c:pt>
                <c:pt idx="10">
                  <c:v>0.19671824329823195</c:v>
                </c:pt>
                <c:pt idx="11">
                  <c:v>0.18782573468785288</c:v>
                </c:pt>
                <c:pt idx="12">
                  <c:v>0.14164778304197886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D-4253-9794-000A58C1F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61760"/>
        <c:axId val="177863296"/>
      </c:lineChart>
      <c:catAx>
        <c:axId val="177861760"/>
        <c:scaling>
          <c:orientation val="minMax"/>
        </c:scaling>
        <c:delete val="0"/>
        <c:axPos val="b"/>
        <c:numFmt formatCode="General;[Red]\-General" sourceLinked="1"/>
        <c:majorTickMark val="out"/>
        <c:minorTickMark val="none"/>
        <c:tickLblPos val="nextTo"/>
        <c:crossAx val="177863296"/>
        <c:crosses val="autoZero"/>
        <c:auto val="1"/>
        <c:lblAlgn val="ctr"/>
        <c:lblOffset val="100"/>
        <c:noMultiLvlLbl val="0"/>
      </c:catAx>
      <c:valAx>
        <c:axId val="177863296"/>
        <c:scaling>
          <c:orientation val="minMax"/>
          <c:max val="0.30000000000000032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7786176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694765</xdr:colOff>
      <xdr:row>0</xdr:row>
      <xdr:rowOff>89647</xdr:rowOff>
    </xdr:from>
    <xdr:to>
      <xdr:col>13</xdr:col>
      <xdr:colOff>387723</xdr:colOff>
      <xdr:row>9</xdr:row>
      <xdr:rowOff>78441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8559" y="89647"/>
          <a:ext cx="7597588" cy="152400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7429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37552B70-0D39-422B-9C6C-543D07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2450" cy="7429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78441</xdr:rowOff>
    </xdr:from>
    <xdr:to>
      <xdr:col>1</xdr:col>
      <xdr:colOff>1792941</xdr:colOff>
      <xdr:row>2</xdr:row>
      <xdr:rowOff>2</xdr:rowOff>
    </xdr:to>
    <xdr:pic>
      <xdr:nvPicPr>
        <xdr:cNvPr id="2" name="Picture 38" descr="logo_wor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12" y="78441"/>
          <a:ext cx="2237254" cy="559736"/>
        </a:xfrm>
        <a:prstGeom prst="rect">
          <a:avLst/>
        </a:prstGeom>
        <a:solidFill>
          <a:schemeClr val="bg1">
            <a:lumMod val="85000"/>
          </a:schemeClr>
        </a:solidFill>
        <a:ln w="38100" cap="sq">
          <a:noFill/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</xdr:colOff>
      <xdr:row>0</xdr:row>
      <xdr:rowOff>38100</xdr:rowOff>
    </xdr:from>
    <xdr:to>
      <xdr:col>13</xdr:col>
      <xdr:colOff>281940</xdr:colOff>
      <xdr:row>6</xdr:row>
      <xdr:rowOff>121920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75710" y="38100"/>
          <a:ext cx="5962650" cy="109728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1</xdr:row>
      <xdr:rowOff>47625</xdr:rowOff>
    </xdr:from>
    <xdr:to>
      <xdr:col>9</xdr:col>
      <xdr:colOff>266700</xdr:colOff>
      <xdr:row>5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0200" y="238125"/>
          <a:ext cx="2962275" cy="7524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285750</xdr:colOff>
      <xdr:row>0</xdr:row>
      <xdr:rowOff>123825</xdr:rowOff>
    </xdr:from>
    <xdr:to>
      <xdr:col>1</xdr:col>
      <xdr:colOff>1219200</xdr:colOff>
      <xdr:row>2</xdr:row>
      <xdr:rowOff>85725</xdr:rowOff>
    </xdr:to>
    <xdr:pic>
      <xdr:nvPicPr>
        <xdr:cNvPr id="3" name="Picture 1" descr="gh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23825"/>
          <a:ext cx="1257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1123950</xdr:colOff>
      <xdr:row>30</xdr:row>
      <xdr:rowOff>38100</xdr:rowOff>
    </xdr:from>
    <xdr:to>
      <xdr:col>6</xdr:col>
      <xdr:colOff>333375</xdr:colOff>
      <xdr:row>44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371475</xdr:colOff>
      <xdr:row>30</xdr:row>
      <xdr:rowOff>142875</xdr:rowOff>
    </xdr:from>
    <xdr:to>
      <xdr:col>5</xdr:col>
      <xdr:colOff>95251</xdr:colOff>
      <xdr:row>32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400300" y="6772275"/>
          <a:ext cx="242887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Situatia imprumuturilor orasului Eforie</a:t>
          </a:r>
        </a:p>
      </xdr:txBody>
    </xdr:sp>
    <xdr:clientData/>
  </xdr:twoCellAnchor>
  <xdr:twoCellAnchor>
    <xdr:from>
      <xdr:col>5</xdr:col>
      <xdr:colOff>209550</xdr:colOff>
      <xdr:row>37</xdr:row>
      <xdr:rowOff>114300</xdr:rowOff>
    </xdr:from>
    <xdr:to>
      <xdr:col>6</xdr:col>
      <xdr:colOff>219075</xdr:colOff>
      <xdr:row>40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943475" y="8077200"/>
          <a:ext cx="9620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/>
            <a:t>credite nerambursate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1</xdr:row>
      <xdr:rowOff>47625</xdr:rowOff>
    </xdr:from>
    <xdr:to>
      <xdr:col>10</xdr:col>
      <xdr:colOff>428625</xdr:colOff>
      <xdr:row>5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0200" y="238125"/>
          <a:ext cx="2962275" cy="7524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285750</xdr:colOff>
      <xdr:row>0</xdr:row>
      <xdr:rowOff>123825</xdr:rowOff>
    </xdr:from>
    <xdr:to>
      <xdr:col>1</xdr:col>
      <xdr:colOff>1219200</xdr:colOff>
      <xdr:row>2</xdr:row>
      <xdr:rowOff>85725</xdr:rowOff>
    </xdr:to>
    <xdr:pic>
      <xdr:nvPicPr>
        <xdr:cNvPr id="5121" name="Picture 1" descr="gh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23825"/>
          <a:ext cx="1257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1123950</xdr:colOff>
      <xdr:row>28</xdr:row>
      <xdr:rowOff>38100</xdr:rowOff>
    </xdr:from>
    <xdr:to>
      <xdr:col>7</xdr:col>
      <xdr:colOff>333375</xdr:colOff>
      <xdr:row>42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371475</xdr:colOff>
      <xdr:row>28</xdr:row>
      <xdr:rowOff>142875</xdr:rowOff>
    </xdr:from>
    <xdr:to>
      <xdr:col>6</xdr:col>
      <xdr:colOff>95251</xdr:colOff>
      <xdr:row>30</xdr:row>
      <xdr:rowOff>142875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00300" y="6829425"/>
          <a:ext cx="242887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Situatia imprumuturilor orasului Eforie</a:t>
          </a:r>
        </a:p>
      </xdr:txBody>
    </xdr:sp>
    <xdr:clientData/>
  </xdr:twoCellAnchor>
  <xdr:twoCellAnchor>
    <xdr:from>
      <xdr:col>6</xdr:col>
      <xdr:colOff>209550</xdr:colOff>
      <xdr:row>35</xdr:row>
      <xdr:rowOff>114300</xdr:rowOff>
    </xdr:from>
    <xdr:to>
      <xdr:col>7</xdr:col>
      <xdr:colOff>219075</xdr:colOff>
      <xdr:row>38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943475" y="8134350"/>
          <a:ext cx="9620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/>
            <a:t>credite nerambursate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694765</xdr:colOff>
      <xdr:row>0</xdr:row>
      <xdr:rowOff>89647</xdr:rowOff>
    </xdr:from>
    <xdr:to>
      <xdr:col>16</xdr:col>
      <xdr:colOff>134470</xdr:colOff>
      <xdr:row>9</xdr:row>
      <xdr:rowOff>78441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5475" y="89647"/>
          <a:ext cx="7622801" cy="156041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1</xdr:row>
      <xdr:rowOff>78441</xdr:rowOff>
    </xdr:from>
    <xdr:to>
      <xdr:col>3</xdr:col>
      <xdr:colOff>238125</xdr:colOff>
      <xdr:row>3</xdr:row>
      <xdr:rowOff>0</xdr:rowOff>
    </xdr:to>
    <xdr:pic>
      <xdr:nvPicPr>
        <xdr:cNvPr id="2" name="Picture 38" descr="logo_wor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2" y="240366"/>
          <a:ext cx="1415863" cy="559734"/>
        </a:xfrm>
        <a:prstGeom prst="rect">
          <a:avLst/>
        </a:prstGeom>
        <a:solidFill>
          <a:schemeClr val="bg1">
            <a:lumMod val="85000"/>
          </a:schemeClr>
        </a:solidFill>
        <a:ln w="38100" cap="sq">
          <a:noFill/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0</xdr:colOff>
      <xdr:row>25</xdr:row>
      <xdr:rowOff>85724</xdr:rowOff>
    </xdr:from>
    <xdr:to>
      <xdr:col>15</xdr:col>
      <xdr:colOff>447674</xdr:colOff>
      <xdr:row>44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7429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8E33775E-A698-47F9-9C20-34D8E05FA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2450" cy="7429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7429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668B55EC-2EFE-48AD-9DFF-AA877267E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2450" cy="7429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ADU%2015.10.2020/radu%2025.04.206/primarii/EFORIE/ASISTENTA%20CURENTA/IMPRUMUTURI%20NOI/IMPRUMUT%202022/MIN%20FINANTE/scadetar%207.16%20mio%20ron.xlsx" TargetMode="External"/><Relationship Id="rId1" Type="http://schemas.openxmlformats.org/officeDocument/2006/relationships/externalLinkPath" Target="/RADU%2015.10.2020/radu%2025.04.206/primarii/EFORIE/ASISTENTA%20CURENTA/IMPRUMUTURI%20NOI/IMPRUMUT%202022/MIN%20FINANTE/scadetar%207.16%20mio%20ron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ADU%2015.10.2020/radu%2025.04.206/primarii/EFORIE/ASISTENTA%20CURENTA/IMPRUMUTURI%20NOI/IMPRUMUT%202022/MIN%20FINANTE/SITUATIE%2019.07.2022.xlsx" TargetMode="External"/><Relationship Id="rId1" Type="http://schemas.openxmlformats.org/officeDocument/2006/relationships/externalLinkPath" Target="/RADU%2015.10.2020/radu%2025.04.206/primarii/EFORIE/ASISTENTA%20CURENTA/IMPRUMUTURI%20NOI/IMPRUMUT%202022/MIN%20FINANTE/SITUATIE%2019.07.20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analist\Piatra%20Neamt\Piatra%20Neamt%20T4%202007\Piatra%20Neamt%20-%20T4%20ChEx%202007.xls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IMPRUMUT%20NOU/20251031_FXB-EXB-901_TREZ236_4617794_4617794_02_107443363.xlsx" TargetMode="External"/><Relationship Id="rId2" Type="http://schemas.openxmlformats.org/officeDocument/2006/relationships/externalLinkPath" Target="file:///C:\RADU\RADU%20SERV\primarii\EFORIE\ASISTENTA%20CURENTA\2025\IMPRUMUT%20NOU\20251031_FXB-EXB-901_TREZ236_4617794_4617794_02_107443363.xlsx" TargetMode="External"/><Relationship Id="rId1" Type="http://schemas.openxmlformats.org/officeDocument/2006/relationships/externalLinkPath" Target="/RADU/RADU%20SERV/primarii/EFORIE/ASISTENTA%20CURENTA/IMPRUMUTURI%20NOI/IMPRUMUT%202026/IMPRUMUT%20NOU/20251031_FXB-EXB-901_TREZ236_4617794_4617794_02_10744336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Mihai%20Tudorancea/AppData/Local/Microsoft/Windows/Temporary%20Internet%20Files/OLK7CD/Piatra%20Neamt%20modelare%20finalizata/Piatra%20Neamt%20rapoarte%20finalizate%20FINAL/PiatraNeamt%20-%202006%20raport%20RO.xls" TargetMode="External"/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iana/InvestitiiPS1/2009/R6_18august/Diana/InvestitiiPS1/2005/Rectificare_09dec05/BugetLocal_R9_22dec05/2002/Rectificare5_decVirare2/Autofinantare_nov/A_ANEXA3_nov.xls" TargetMode="External"/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ADU%2025.05.2017/radu%2025.04.206/primarii/ARHIVA/sinaia/CREDIT%202017/Grafic%20Sinaia.xlsx" TargetMode="External"/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mark%20birnbaum/Desktop/BaiaMareenglexe/Romanian%20Financial%20Analysis%20Model.xls" TargetMode="External"/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REDIT ref 6.98 MIO"/>
    </sheetNames>
    <sheetDataSet>
      <sheetData sheetId="0">
        <row r="4">
          <cell r="E4">
            <v>6989583.2999999998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imbank 4"/>
      <sheetName val="credit eximbank 85"/>
      <sheetName val="grad indatorare"/>
      <sheetName val="CREDIT ref 7.2 MIO"/>
      <sheetName val="credit nou fd UE 7.5 mio"/>
      <sheetName val="centralizare credite"/>
      <sheetName val="anexa 1.3 credit nou"/>
      <sheetName val="1.4 "/>
    </sheetNames>
    <sheetDataSet>
      <sheetData sheetId="0">
        <row r="6">
          <cell r="D6">
            <v>7.0900000000000005E-2</v>
          </cell>
        </row>
      </sheetData>
      <sheetData sheetId="1"/>
      <sheetData sheetId="2">
        <row r="19">
          <cell r="C19">
            <v>24786827.579999998</v>
          </cell>
        </row>
      </sheetData>
      <sheetData sheetId="3">
        <row r="4">
          <cell r="E4">
            <v>6989583.2999999998</v>
          </cell>
        </row>
      </sheetData>
      <sheetData sheetId="4"/>
      <sheetData sheetId="5">
        <row r="33">
          <cell r="I33">
            <v>0</v>
          </cell>
        </row>
      </sheetData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xRz T4 2007"/>
      <sheetName val="Indicatori-Ratio"/>
      <sheetName val="ChExFct_2007_T4"/>
      <sheetName val="ChExEc_2007_T4"/>
      <sheetName val="ChExFct_in_T4% "/>
      <sheetName val="Alte_ChExFct_inT4%"/>
      <sheetName val="ChExFct_la_T4%"/>
      <sheetName val="Alte_ChExFct_laT4% "/>
      <sheetName val="ChExEc_in_T4%"/>
      <sheetName val="Alte_ChExEc_in_T4% "/>
      <sheetName val="ChExEc_la_T4%"/>
      <sheetName val="Alte_ChExEc_la_T4%"/>
      <sheetName val="51.02"/>
      <sheetName val="54.02"/>
      <sheetName val="55.02"/>
      <sheetName val="56.02"/>
      <sheetName val="57.02"/>
      <sheetName val="60.02"/>
      <sheetName val="61.02"/>
      <sheetName val="65.02"/>
      <sheetName val="66.02"/>
      <sheetName val="67.02"/>
      <sheetName val="68.02"/>
      <sheetName val="70.02"/>
      <sheetName val="74.02"/>
      <sheetName val="80.02"/>
      <sheetName val="81.02"/>
      <sheetName val="83.02"/>
      <sheetName val="84.02"/>
      <sheetName val="87.02"/>
    </sheetNames>
    <sheetDataSet>
      <sheetData sheetId="0">
        <row r="29">
          <cell r="Q29">
            <v>12721.442999999999</v>
          </cell>
        </row>
        <row r="30">
          <cell r="Q30">
            <v>0</v>
          </cell>
        </row>
      </sheetData>
      <sheetData sheetId="1"/>
      <sheetData sheetId="2"/>
      <sheetData sheetId="3">
        <row r="84">
          <cell r="Q84">
            <v>249.905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</sheetNames>
    <sheetDataSet>
      <sheetData sheetId="0">
        <row r="51">
          <cell r="M51">
            <v>54414133.609999999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12"/>
  <sheetViews>
    <sheetView topLeftCell="A2" workbookViewId="0">
      <selection activeCell="D7" sqref="D7"/>
    </sheetView>
  </sheetViews>
  <sheetFormatPr defaultColWidth="9.109375" defaultRowHeight="14.4"/>
  <cols>
    <col min="1" max="1" width="10.109375" style="148" bestFit="1" customWidth="1"/>
    <col min="2" max="2" width="10.109375" style="148" hidden="1" customWidth="1"/>
    <col min="3" max="3" width="16.6640625" style="148" customWidth="1"/>
    <col min="4" max="5" width="14.33203125" style="149" bestFit="1" customWidth="1"/>
    <col min="6" max="6" width="14.33203125" style="150" bestFit="1" customWidth="1"/>
    <col min="7" max="7" width="13.33203125" style="150" customWidth="1"/>
    <col min="8" max="8" width="14.33203125" style="149" bestFit="1" customWidth="1"/>
    <col min="9" max="9" width="9.109375" style="149"/>
    <col min="10" max="10" width="10.5546875" style="149" hidden="1" customWidth="1"/>
    <col min="11" max="11" width="14.33203125" style="149" bestFit="1" customWidth="1"/>
    <col min="12" max="18" width="13.33203125" style="149" hidden="1" customWidth="1"/>
    <col min="19" max="26" width="13.33203125" style="149" bestFit="1" customWidth="1"/>
    <col min="27" max="27" width="11.5546875" style="149" bestFit="1" customWidth="1"/>
    <col min="28" max="28" width="9.109375" style="149"/>
    <col min="29" max="29" width="14.33203125" style="149" bestFit="1" customWidth="1"/>
    <col min="30" max="16384" width="9.109375" style="149"/>
  </cols>
  <sheetData>
    <row r="1" spans="1:29" hidden="1">
      <c r="A1" s="148" t="s">
        <v>72</v>
      </c>
      <c r="D1" s="149">
        <v>4.55</v>
      </c>
    </row>
    <row r="3" spans="1:29">
      <c r="A3" s="315" t="s">
        <v>73</v>
      </c>
      <c r="B3" s="315"/>
      <c r="C3" s="315"/>
      <c r="D3" s="315"/>
      <c r="E3" s="315"/>
      <c r="F3" s="315"/>
      <c r="G3" s="315"/>
      <c r="H3" s="315"/>
    </row>
    <row r="4" spans="1:29">
      <c r="A4" s="151" t="s">
        <v>74</v>
      </c>
      <c r="D4" s="150">
        <v>24596128.539999999</v>
      </c>
      <c r="E4" s="152" t="s">
        <v>62</v>
      </c>
    </row>
    <row r="5" spans="1:29">
      <c r="A5" s="153"/>
      <c r="B5" s="153"/>
      <c r="C5" s="153"/>
      <c r="D5" s="154">
        <f>D4</f>
        <v>24596128.539999999</v>
      </c>
      <c r="E5" s="155" t="s">
        <v>62</v>
      </c>
    </row>
    <row r="6" spans="1:29">
      <c r="A6" s="186" t="s">
        <v>127</v>
      </c>
      <c r="D6" s="156">
        <v>5.7799999999999997E-2</v>
      </c>
    </row>
    <row r="7" spans="1:29">
      <c r="A7" s="148" t="s">
        <v>28</v>
      </c>
      <c r="D7" s="156">
        <v>8.9999999999999993E-3</v>
      </c>
    </row>
    <row r="8" spans="1:29">
      <c r="A8" s="153"/>
      <c r="B8" s="153"/>
      <c r="C8" s="153"/>
      <c r="D8" s="184">
        <f>D6+D7</f>
        <v>6.6799999999999998E-2</v>
      </c>
    </row>
    <row r="9" spans="1:29">
      <c r="D9" s="150"/>
      <c r="L9" s="149">
        <v>2017</v>
      </c>
      <c r="M9" s="149">
        <f>L9+1</f>
        <v>2018</v>
      </c>
      <c r="N9" s="149">
        <f t="shared" ref="N9:Y9" si="0">M9+1</f>
        <v>2019</v>
      </c>
      <c r="O9" s="149">
        <f t="shared" si="0"/>
        <v>2020</v>
      </c>
      <c r="P9" s="149">
        <f t="shared" si="0"/>
        <v>2021</v>
      </c>
      <c r="Q9" s="149">
        <f t="shared" si="0"/>
        <v>2022</v>
      </c>
      <c r="R9" s="149">
        <f t="shared" si="0"/>
        <v>2023</v>
      </c>
      <c r="S9" s="149">
        <f t="shared" si="0"/>
        <v>2024</v>
      </c>
      <c r="T9" s="149">
        <f t="shared" si="0"/>
        <v>2025</v>
      </c>
      <c r="U9" s="149">
        <f t="shared" si="0"/>
        <v>2026</v>
      </c>
      <c r="V9" s="149">
        <f t="shared" si="0"/>
        <v>2027</v>
      </c>
      <c r="W9" s="149">
        <f t="shared" si="0"/>
        <v>2028</v>
      </c>
      <c r="X9" s="149">
        <f t="shared" si="0"/>
        <v>2029</v>
      </c>
      <c r="Y9" s="149">
        <f t="shared" si="0"/>
        <v>2030</v>
      </c>
      <c r="Z9" s="149">
        <f>Y9+1</f>
        <v>2031</v>
      </c>
      <c r="AA9" s="149">
        <f>Z9+1</f>
        <v>2032</v>
      </c>
    </row>
    <row r="10" spans="1:29">
      <c r="D10" s="156"/>
      <c r="E10" s="156"/>
      <c r="K10" s="157" t="s">
        <v>33</v>
      </c>
      <c r="L10" s="149">
        <f>K25</f>
        <v>972728.24734463263</v>
      </c>
      <c r="M10" s="152">
        <f>K37</f>
        <v>1667534.138305085</v>
      </c>
      <c r="N10" s="152">
        <f>K49</f>
        <v>1667534.138305085</v>
      </c>
      <c r="O10" s="152">
        <f>K61</f>
        <v>1667534.138305085</v>
      </c>
      <c r="P10" s="152">
        <f>K73</f>
        <v>1667534.138305085</v>
      </c>
      <c r="Q10" s="152">
        <f>K85</f>
        <v>1667534.138305085</v>
      </c>
      <c r="R10" s="152">
        <f>K97</f>
        <v>1667534.138305085</v>
      </c>
      <c r="S10" s="152">
        <f>K109</f>
        <v>1667534.138305085</v>
      </c>
      <c r="T10" s="152">
        <f>K121</f>
        <v>1667534.138305085</v>
      </c>
      <c r="U10" s="152">
        <f>K133</f>
        <v>1667534.138305085</v>
      </c>
      <c r="V10" s="152">
        <f>K145</f>
        <v>1667534.138305085</v>
      </c>
      <c r="W10" s="152">
        <f>K157</f>
        <v>1667534.138305085</v>
      </c>
      <c r="X10" s="152">
        <f>K169</f>
        <v>1667534.138305085</v>
      </c>
      <c r="Y10" s="152">
        <f>K181</f>
        <v>1667534.138305085</v>
      </c>
      <c r="Z10" s="152">
        <f>K194</f>
        <v>1667534.138305085</v>
      </c>
      <c r="AA10" s="152">
        <f>K195</f>
        <v>277922.35638418078</v>
      </c>
      <c r="AC10" s="158">
        <f>SUM(L10:AB10)</f>
        <v>24596128.54000001</v>
      </c>
    </row>
    <row r="11" spans="1:29">
      <c r="A11" s="159" t="s">
        <v>75</v>
      </c>
      <c r="B11" s="159"/>
      <c r="C11" s="159" t="s">
        <v>76</v>
      </c>
      <c r="D11" s="160" t="s">
        <v>77</v>
      </c>
      <c r="E11" s="159" t="s">
        <v>29</v>
      </c>
      <c r="F11" s="161" t="s">
        <v>13</v>
      </c>
      <c r="G11" s="161" t="s">
        <v>9</v>
      </c>
      <c r="H11" s="159" t="s">
        <v>32</v>
      </c>
      <c r="K11" s="157" t="s">
        <v>31</v>
      </c>
      <c r="L11" s="152">
        <f>L25</f>
        <v>1238506.0143600611</v>
      </c>
      <c r="M11" s="152">
        <f>L37</f>
        <v>1547952.022819736</v>
      </c>
      <c r="N11" s="152">
        <f>L49</f>
        <v>1435013.6412637513</v>
      </c>
      <c r="O11" s="152">
        <f>L61</f>
        <v>1325814.0874076788</v>
      </c>
      <c r="P11" s="152">
        <f>L73</f>
        <v>1209136.8781517816</v>
      </c>
      <c r="Q11" s="152">
        <f>L85</f>
        <v>1096198.4965957969</v>
      </c>
      <c r="R11" s="152">
        <f>L97</f>
        <v>983260.11503981194</v>
      </c>
      <c r="S11" s="152">
        <f>L109</f>
        <v>872822.88028997567</v>
      </c>
      <c r="T11" s="152">
        <f>L121</f>
        <v>757383.35192784236</v>
      </c>
      <c r="U11" s="152">
        <f>L133</f>
        <v>644444.9703718574</v>
      </c>
      <c r="V11" s="152">
        <f>L145</f>
        <v>531506.58881587279</v>
      </c>
      <c r="W11" s="152">
        <f>L157</f>
        <v>419831.67317227228</v>
      </c>
      <c r="X11" s="152">
        <f>L169</f>
        <v>305629.82570390316</v>
      </c>
      <c r="Y11" s="152">
        <f>L181</f>
        <v>192691.44414791834</v>
      </c>
      <c r="Z11" s="152">
        <f>L194</f>
        <v>79753.062591933412</v>
      </c>
      <c r="AA11" s="152">
        <f>L195</f>
        <v>2346.4366944282556</v>
      </c>
      <c r="AC11" s="158">
        <f>SUM(L11:AB11)</f>
        <v>12642291.489354623</v>
      </c>
    </row>
    <row r="12" spans="1:29">
      <c r="A12" s="162">
        <v>1</v>
      </c>
      <c r="B12" s="162"/>
      <c r="C12" s="162">
        <v>2</v>
      </c>
      <c r="D12" s="162">
        <v>3</v>
      </c>
      <c r="E12" s="162">
        <v>4</v>
      </c>
      <c r="F12" s="162">
        <v>5</v>
      </c>
      <c r="G12" s="162">
        <v>6</v>
      </c>
      <c r="H12" s="162" t="s">
        <v>78</v>
      </c>
    </row>
    <row r="13" spans="1:29" hidden="1">
      <c r="A13" s="163">
        <v>42736</v>
      </c>
      <c r="B13" s="163">
        <f>A14</f>
        <v>42794</v>
      </c>
      <c r="C13" s="164"/>
      <c r="D13" s="165"/>
      <c r="E13" s="166"/>
      <c r="F13" s="164"/>
      <c r="G13" s="164"/>
      <c r="H13" s="165"/>
    </row>
    <row r="14" spans="1:29" hidden="1">
      <c r="A14" s="163">
        <v>42794</v>
      </c>
      <c r="B14" s="163">
        <f>A15</f>
        <v>42825</v>
      </c>
      <c r="C14" s="164"/>
      <c r="D14" s="166">
        <v>0</v>
      </c>
      <c r="E14" s="166">
        <v>0</v>
      </c>
      <c r="F14" s="164">
        <f t="shared" ref="F14:F77" si="1">E13*(B13-A13)*$D$8/360</f>
        <v>0</v>
      </c>
      <c r="G14" s="164"/>
      <c r="H14" s="166">
        <f>D14+F14</f>
        <v>0</v>
      </c>
      <c r="J14" s="152">
        <f>H14/4.5</f>
        <v>0</v>
      </c>
    </row>
    <row r="15" spans="1:29" hidden="1">
      <c r="A15" s="163">
        <f>EOMONTH(A14,1)</f>
        <v>42825</v>
      </c>
      <c r="B15" s="163">
        <f>A16</f>
        <v>42855</v>
      </c>
      <c r="C15" s="167">
        <f>D4</f>
        <v>24596128.539999999</v>
      </c>
      <c r="D15" s="166">
        <f>D14</f>
        <v>0</v>
      </c>
      <c r="E15" s="166">
        <f>C15</f>
        <v>24596128.539999999</v>
      </c>
      <c r="F15" s="164">
        <f t="shared" si="1"/>
        <v>0</v>
      </c>
      <c r="G15" s="164"/>
      <c r="H15" s="166">
        <f>D15+F15</f>
        <v>0</v>
      </c>
      <c r="J15" s="152">
        <f>H15/4.5</f>
        <v>0</v>
      </c>
    </row>
    <row r="16" spans="1:29" hidden="1">
      <c r="A16" s="163">
        <f t="shared" ref="A16:A79" si="2">EOMONTH(A15,1)</f>
        <v>42855</v>
      </c>
      <c r="B16" s="163">
        <f t="shared" ref="B16:B79" si="3">A17</f>
        <v>42886</v>
      </c>
      <c r="C16" s="163"/>
      <c r="D16" s="166">
        <f t="shared" ref="D16:D79" si="4">D15</f>
        <v>0</v>
      </c>
      <c r="E16" s="166">
        <f t="shared" ref="E16:E79" si="5">E15-D16</f>
        <v>24596128.539999999</v>
      </c>
      <c r="F16" s="164">
        <f>E15*(B15-A15)*$D$8/360</f>
        <v>136918.44887266663</v>
      </c>
      <c r="G16" s="164"/>
      <c r="H16" s="166">
        <f t="shared" ref="H16:H79" si="6">D16+F16</f>
        <v>136918.44887266663</v>
      </c>
      <c r="J16" s="152">
        <f t="shared" ref="J16:J79" si="7">H16/4.5</f>
        <v>30426.321971703695</v>
      </c>
    </row>
    <row r="17" spans="1:12" hidden="1">
      <c r="A17" s="163">
        <f t="shared" si="2"/>
        <v>42886</v>
      </c>
      <c r="B17" s="163">
        <f t="shared" si="3"/>
        <v>42916</v>
      </c>
      <c r="C17" s="163"/>
      <c r="D17" s="166">
        <v>0</v>
      </c>
      <c r="E17" s="166">
        <f t="shared" si="5"/>
        <v>24596128.539999999</v>
      </c>
      <c r="F17" s="164">
        <f t="shared" si="1"/>
        <v>141482.39716842223</v>
      </c>
      <c r="G17" s="164"/>
      <c r="H17" s="166">
        <f t="shared" si="6"/>
        <v>141482.39716842223</v>
      </c>
      <c r="J17" s="152">
        <f t="shared" si="7"/>
        <v>31440.532704093828</v>
      </c>
    </row>
    <row r="18" spans="1:12" hidden="1">
      <c r="A18" s="163">
        <f t="shared" si="2"/>
        <v>42916</v>
      </c>
      <c r="B18" s="163">
        <f t="shared" si="3"/>
        <v>42947</v>
      </c>
      <c r="C18" s="163"/>
      <c r="D18" s="166">
        <f>C15/177</f>
        <v>138961.17819209039</v>
      </c>
      <c r="E18" s="166">
        <f t="shared" si="5"/>
        <v>24457167.361807909</v>
      </c>
      <c r="F18" s="164">
        <f t="shared" si="1"/>
        <v>136918.44887266663</v>
      </c>
      <c r="G18" s="164"/>
      <c r="H18" s="166">
        <f t="shared" si="6"/>
        <v>275879.62706475705</v>
      </c>
      <c r="J18" s="152">
        <f t="shared" si="7"/>
        <v>61306.583792168232</v>
      </c>
    </row>
    <row r="19" spans="1:12" hidden="1">
      <c r="A19" s="163">
        <f t="shared" si="2"/>
        <v>42947</v>
      </c>
      <c r="B19" s="163">
        <f t="shared" si="3"/>
        <v>42978</v>
      </c>
      <c r="C19" s="163"/>
      <c r="D19" s="166">
        <f t="shared" si="4"/>
        <v>138961.17819209039</v>
      </c>
      <c r="E19" s="166">
        <f t="shared" si="5"/>
        <v>24318206.183615819</v>
      </c>
      <c r="F19" s="164">
        <f t="shared" si="1"/>
        <v>140683.06159119948</v>
      </c>
      <c r="G19" s="164"/>
      <c r="H19" s="166">
        <f t="shared" si="6"/>
        <v>279644.23978328984</v>
      </c>
      <c r="J19" s="152">
        <f t="shared" si="7"/>
        <v>62143.164396286629</v>
      </c>
    </row>
    <row r="20" spans="1:12" hidden="1">
      <c r="A20" s="163">
        <f t="shared" si="2"/>
        <v>42978</v>
      </c>
      <c r="B20" s="163">
        <f t="shared" si="3"/>
        <v>43008</v>
      </c>
      <c r="C20" s="163"/>
      <c r="D20" s="166">
        <f t="shared" si="4"/>
        <v>138961.17819209039</v>
      </c>
      <c r="E20" s="166">
        <f t="shared" si="5"/>
        <v>24179245.005423728</v>
      </c>
      <c r="F20" s="164">
        <f t="shared" si="1"/>
        <v>139883.72601397676</v>
      </c>
      <c r="G20" s="164"/>
      <c r="H20" s="166">
        <f t="shared" si="6"/>
        <v>278844.90420606715</v>
      </c>
      <c r="J20" s="152">
        <f t="shared" si="7"/>
        <v>61965.534268014919</v>
      </c>
    </row>
    <row r="21" spans="1:12" hidden="1">
      <c r="A21" s="163">
        <f t="shared" si="2"/>
        <v>43008</v>
      </c>
      <c r="B21" s="163">
        <f t="shared" si="3"/>
        <v>43039</v>
      </c>
      <c r="C21" s="163"/>
      <c r="D21" s="166">
        <f t="shared" si="4"/>
        <v>138961.17819209039</v>
      </c>
      <c r="E21" s="166">
        <f t="shared" si="5"/>
        <v>24040283.827231638</v>
      </c>
      <c r="F21" s="164">
        <f t="shared" si="1"/>
        <v>134597.79719685874</v>
      </c>
      <c r="G21" s="164"/>
      <c r="H21" s="166">
        <f t="shared" si="6"/>
        <v>273558.97538894915</v>
      </c>
      <c r="J21" s="152">
        <f t="shared" si="7"/>
        <v>60790.883419766476</v>
      </c>
    </row>
    <row r="22" spans="1:12" hidden="1">
      <c r="A22" s="163">
        <f t="shared" si="2"/>
        <v>43039</v>
      </c>
      <c r="B22" s="163">
        <f t="shared" si="3"/>
        <v>43069</v>
      </c>
      <c r="C22" s="163"/>
      <c r="D22" s="166">
        <f t="shared" si="4"/>
        <v>138961.17819209039</v>
      </c>
      <c r="E22" s="166">
        <f t="shared" si="5"/>
        <v>23901322.649039548</v>
      </c>
      <c r="F22" s="164">
        <f t="shared" si="1"/>
        <v>138285.05485953132</v>
      </c>
      <c r="G22" s="164"/>
      <c r="H22" s="166">
        <f t="shared" si="6"/>
        <v>277246.2330516217</v>
      </c>
      <c r="J22" s="152">
        <f t="shared" si="7"/>
        <v>61610.274011471491</v>
      </c>
    </row>
    <row r="23" spans="1:12" hidden="1">
      <c r="A23" s="163">
        <f t="shared" si="2"/>
        <v>43069</v>
      </c>
      <c r="B23" s="163">
        <f t="shared" si="3"/>
        <v>43100</v>
      </c>
      <c r="C23" s="163"/>
      <c r="D23" s="166">
        <f t="shared" si="4"/>
        <v>138961.17819209039</v>
      </c>
      <c r="E23" s="166">
        <f t="shared" si="5"/>
        <v>23762361.470847458</v>
      </c>
      <c r="F23" s="164">
        <f t="shared" si="1"/>
        <v>133050.69607965348</v>
      </c>
      <c r="G23" s="164"/>
      <c r="H23" s="166">
        <f t="shared" si="6"/>
        <v>272011.87427174387</v>
      </c>
      <c r="J23" s="152">
        <f t="shared" si="7"/>
        <v>60447.083171498642</v>
      </c>
    </row>
    <row r="24" spans="1:12" s="171" customFormat="1" hidden="1">
      <c r="A24" s="168">
        <f t="shared" si="2"/>
        <v>43100</v>
      </c>
      <c r="B24" s="168">
        <f t="shared" si="3"/>
        <v>43131</v>
      </c>
      <c r="C24" s="168"/>
      <c r="D24" s="169">
        <f t="shared" si="4"/>
        <v>138961.17819209039</v>
      </c>
      <c r="E24" s="169">
        <f t="shared" si="5"/>
        <v>23623400.292655367</v>
      </c>
      <c r="F24" s="170">
        <f t="shared" si="1"/>
        <v>136686.38370508587</v>
      </c>
      <c r="G24" s="170"/>
      <c r="H24" s="169">
        <f t="shared" si="6"/>
        <v>275647.56189717626</v>
      </c>
      <c r="J24" s="172">
        <f t="shared" si="7"/>
        <v>61255.013754928055</v>
      </c>
    </row>
    <row r="25" spans="1:12" s="176" customFormat="1" hidden="1">
      <c r="A25" s="173">
        <f t="shared" si="2"/>
        <v>43131</v>
      </c>
      <c r="B25" s="173">
        <f t="shared" si="3"/>
        <v>43159</v>
      </c>
      <c r="C25" s="173"/>
      <c r="D25" s="174">
        <f t="shared" si="4"/>
        <v>138961.17819209039</v>
      </c>
      <c r="E25" s="174">
        <f t="shared" si="5"/>
        <v>23484439.114463277</v>
      </c>
      <c r="F25" s="175">
        <f t="shared" si="1"/>
        <v>135887.04812786315</v>
      </c>
      <c r="G25" s="175"/>
      <c r="H25" s="174">
        <f t="shared" si="6"/>
        <v>274848.22631995357</v>
      </c>
      <c r="J25" s="177">
        <f t="shared" si="7"/>
        <v>61077.383626656345</v>
      </c>
      <c r="K25" s="176">
        <f>SUM(D13:D24)</f>
        <v>972728.24734463263</v>
      </c>
      <c r="L25" s="177">
        <f>SUM(F13:F24)</f>
        <v>1238506.0143600611</v>
      </c>
    </row>
    <row r="26" spans="1:12" s="176" customFormat="1" hidden="1">
      <c r="A26" s="173">
        <f t="shared" si="2"/>
        <v>43159</v>
      </c>
      <c r="B26" s="173">
        <f t="shared" si="3"/>
        <v>43190</v>
      </c>
      <c r="C26" s="173"/>
      <c r="D26" s="174">
        <f t="shared" si="4"/>
        <v>138961.17819209039</v>
      </c>
      <c r="E26" s="174">
        <f t="shared" si="5"/>
        <v>23345477.936271187</v>
      </c>
      <c r="F26" s="175">
        <f t="shared" si="1"/>
        <v>122014.70811025587</v>
      </c>
      <c r="G26" s="175"/>
      <c r="H26" s="174">
        <f t="shared" si="6"/>
        <v>260975.88630234625</v>
      </c>
      <c r="J26" s="177">
        <f t="shared" si="7"/>
        <v>57994.641400521388</v>
      </c>
    </row>
    <row r="27" spans="1:12" s="176" customFormat="1" hidden="1">
      <c r="A27" s="173">
        <f t="shared" si="2"/>
        <v>43190</v>
      </c>
      <c r="B27" s="173">
        <f t="shared" si="3"/>
        <v>43220</v>
      </c>
      <c r="C27" s="173"/>
      <c r="D27" s="174">
        <f t="shared" si="4"/>
        <v>138961.17819209039</v>
      </c>
      <c r="E27" s="174">
        <f t="shared" si="5"/>
        <v>23206516.758079097</v>
      </c>
      <c r="F27" s="175">
        <f t="shared" si="1"/>
        <v>134288.3769734177</v>
      </c>
      <c r="G27" s="175"/>
      <c r="H27" s="174">
        <f t="shared" si="6"/>
        <v>273249.55516550806</v>
      </c>
      <c r="J27" s="177">
        <f t="shared" si="7"/>
        <v>60722.123370112902</v>
      </c>
    </row>
    <row r="28" spans="1:12" s="176" customFormat="1" hidden="1">
      <c r="A28" s="173">
        <f t="shared" si="2"/>
        <v>43220</v>
      </c>
      <c r="B28" s="173">
        <f t="shared" si="3"/>
        <v>43251</v>
      </c>
      <c r="C28" s="173"/>
      <c r="D28" s="174">
        <f t="shared" si="4"/>
        <v>138961.17819209039</v>
      </c>
      <c r="E28" s="174">
        <f t="shared" si="5"/>
        <v>23067555.579887006</v>
      </c>
      <c r="F28" s="175">
        <f t="shared" si="1"/>
        <v>129182.94328664031</v>
      </c>
      <c r="G28" s="175"/>
      <c r="H28" s="174">
        <f t="shared" si="6"/>
        <v>268144.1214787307</v>
      </c>
      <c r="J28" s="177">
        <f t="shared" si="7"/>
        <v>59587.582550829044</v>
      </c>
    </row>
    <row r="29" spans="1:12" s="176" customFormat="1" hidden="1">
      <c r="A29" s="173">
        <f t="shared" si="2"/>
        <v>43251</v>
      </c>
      <c r="B29" s="173">
        <f t="shared" si="3"/>
        <v>43281</v>
      </c>
      <c r="C29" s="173"/>
      <c r="D29" s="174">
        <f t="shared" si="4"/>
        <v>138961.17819209039</v>
      </c>
      <c r="E29" s="174">
        <f t="shared" si="5"/>
        <v>22928594.401694916</v>
      </c>
      <c r="F29" s="175">
        <f t="shared" si="1"/>
        <v>132689.70581897223</v>
      </c>
      <c r="G29" s="175"/>
      <c r="H29" s="174">
        <f t="shared" si="6"/>
        <v>271650.88401106262</v>
      </c>
      <c r="J29" s="177">
        <f t="shared" si="7"/>
        <v>60366.863113569474</v>
      </c>
    </row>
    <row r="30" spans="1:12" s="176" customFormat="1" hidden="1">
      <c r="A30" s="173">
        <f t="shared" si="2"/>
        <v>43281</v>
      </c>
      <c r="B30" s="173">
        <f t="shared" si="3"/>
        <v>43312</v>
      </c>
      <c r="C30" s="173"/>
      <c r="D30" s="174">
        <f t="shared" si="4"/>
        <v>138961.17819209039</v>
      </c>
      <c r="E30" s="174">
        <f t="shared" si="5"/>
        <v>22789633.223502826</v>
      </c>
      <c r="F30" s="175">
        <f t="shared" si="1"/>
        <v>127635.84216943503</v>
      </c>
      <c r="G30" s="175"/>
      <c r="H30" s="174">
        <f t="shared" si="6"/>
        <v>266597.02036152541</v>
      </c>
      <c r="J30" s="177">
        <f t="shared" si="7"/>
        <v>59243.782302561202</v>
      </c>
    </row>
    <row r="31" spans="1:12" s="176" customFormat="1" hidden="1">
      <c r="A31" s="173">
        <f t="shared" si="2"/>
        <v>43312</v>
      </c>
      <c r="B31" s="173">
        <f t="shared" si="3"/>
        <v>43343</v>
      </c>
      <c r="C31" s="173"/>
      <c r="D31" s="174">
        <f t="shared" si="4"/>
        <v>138961.17819209039</v>
      </c>
      <c r="E31" s="174">
        <f t="shared" si="5"/>
        <v>22650672.045310736</v>
      </c>
      <c r="F31" s="175">
        <f t="shared" si="1"/>
        <v>131091.03466452679</v>
      </c>
      <c r="G31" s="175"/>
      <c r="H31" s="174">
        <f t="shared" si="6"/>
        <v>270052.21285661717</v>
      </c>
      <c r="J31" s="177">
        <f t="shared" si="7"/>
        <v>60011.602857026039</v>
      </c>
    </row>
    <row r="32" spans="1:12" s="176" customFormat="1" hidden="1">
      <c r="A32" s="173">
        <f t="shared" si="2"/>
        <v>43343</v>
      </c>
      <c r="B32" s="173">
        <f t="shared" si="3"/>
        <v>43373</v>
      </c>
      <c r="C32" s="173"/>
      <c r="D32" s="174">
        <f t="shared" si="4"/>
        <v>138961.17819209039</v>
      </c>
      <c r="E32" s="174">
        <f t="shared" si="5"/>
        <v>22511710.867118645</v>
      </c>
      <c r="F32" s="175">
        <f t="shared" si="1"/>
        <v>130291.69908730408</v>
      </c>
      <c r="G32" s="175"/>
      <c r="H32" s="174">
        <f t="shared" si="6"/>
        <v>269252.87727939448</v>
      </c>
      <c r="J32" s="177">
        <f t="shared" si="7"/>
        <v>59833.972728754328</v>
      </c>
    </row>
    <row r="33" spans="1:12" s="176" customFormat="1" hidden="1">
      <c r="A33" s="173">
        <f t="shared" si="2"/>
        <v>43373</v>
      </c>
      <c r="B33" s="173">
        <f t="shared" si="3"/>
        <v>43404</v>
      </c>
      <c r="C33" s="173"/>
      <c r="D33" s="174">
        <f t="shared" si="4"/>
        <v>138961.17819209039</v>
      </c>
      <c r="E33" s="174">
        <f t="shared" si="5"/>
        <v>22372749.688926555</v>
      </c>
      <c r="F33" s="175">
        <f t="shared" si="1"/>
        <v>125315.19049362712</v>
      </c>
      <c r="G33" s="175"/>
      <c r="H33" s="174">
        <f t="shared" si="6"/>
        <v>264276.36868571752</v>
      </c>
      <c r="J33" s="177">
        <f t="shared" si="7"/>
        <v>58728.081930159446</v>
      </c>
    </row>
    <row r="34" spans="1:12" s="176" customFormat="1" hidden="1">
      <c r="A34" s="173">
        <f t="shared" si="2"/>
        <v>43404</v>
      </c>
      <c r="B34" s="173">
        <f t="shared" si="3"/>
        <v>43434</v>
      </c>
      <c r="C34" s="173"/>
      <c r="D34" s="174">
        <f t="shared" si="4"/>
        <v>138961.17819209039</v>
      </c>
      <c r="E34" s="174">
        <f t="shared" si="5"/>
        <v>22233788.510734465</v>
      </c>
      <c r="F34" s="175">
        <f t="shared" si="1"/>
        <v>128693.02793285863</v>
      </c>
      <c r="G34" s="175"/>
      <c r="H34" s="174">
        <f t="shared" si="6"/>
        <v>267654.20612494904</v>
      </c>
      <c r="J34" s="177">
        <f t="shared" si="7"/>
        <v>59478.7124722109</v>
      </c>
    </row>
    <row r="35" spans="1:12" s="176" customFormat="1" hidden="1">
      <c r="A35" s="173">
        <f t="shared" si="2"/>
        <v>43434</v>
      </c>
      <c r="B35" s="173">
        <f t="shared" si="3"/>
        <v>43465</v>
      </c>
      <c r="C35" s="173"/>
      <c r="D35" s="174">
        <f t="shared" si="4"/>
        <v>138961.17819209039</v>
      </c>
      <c r="E35" s="174">
        <f t="shared" si="5"/>
        <v>22094827.332542375</v>
      </c>
      <c r="F35" s="175">
        <f t="shared" si="1"/>
        <v>123768.08937642185</v>
      </c>
      <c r="G35" s="175"/>
      <c r="H35" s="174">
        <f t="shared" si="6"/>
        <v>262729.26756851224</v>
      </c>
      <c r="J35" s="177">
        <f t="shared" si="7"/>
        <v>58384.281681891611</v>
      </c>
    </row>
    <row r="36" spans="1:12" s="171" customFormat="1" hidden="1">
      <c r="A36" s="168">
        <f t="shared" si="2"/>
        <v>43465</v>
      </c>
      <c r="B36" s="168">
        <f t="shared" si="3"/>
        <v>43496</v>
      </c>
      <c r="C36" s="168"/>
      <c r="D36" s="169">
        <f t="shared" si="4"/>
        <v>138961.17819209039</v>
      </c>
      <c r="E36" s="169">
        <f t="shared" si="5"/>
        <v>21955866.154350284</v>
      </c>
      <c r="F36" s="170">
        <f t="shared" si="1"/>
        <v>127094.35677841319</v>
      </c>
      <c r="G36" s="170"/>
      <c r="H36" s="169">
        <f t="shared" si="6"/>
        <v>266055.53497050359</v>
      </c>
      <c r="J36" s="172">
        <f t="shared" si="7"/>
        <v>59123.452215667465</v>
      </c>
    </row>
    <row r="37" spans="1:12" s="176" customFormat="1" hidden="1">
      <c r="A37" s="173">
        <f t="shared" si="2"/>
        <v>43496</v>
      </c>
      <c r="B37" s="173">
        <f t="shared" si="3"/>
        <v>43524</v>
      </c>
      <c r="C37" s="173"/>
      <c r="D37" s="174">
        <f t="shared" si="4"/>
        <v>138961.17819209039</v>
      </c>
      <c r="E37" s="174">
        <f t="shared" si="5"/>
        <v>21816904.976158194</v>
      </c>
      <c r="F37" s="175">
        <f t="shared" si="1"/>
        <v>126295.02120119048</v>
      </c>
      <c r="G37" s="175"/>
      <c r="H37" s="174">
        <f t="shared" si="6"/>
        <v>265256.1993932809</v>
      </c>
      <c r="J37" s="177">
        <f t="shared" si="7"/>
        <v>58945.822087395754</v>
      </c>
      <c r="K37" s="177">
        <f>SUM(D25:D36)</f>
        <v>1667534.138305085</v>
      </c>
      <c r="L37" s="177">
        <f>SUM(F25:F36)</f>
        <v>1547952.022819736</v>
      </c>
    </row>
    <row r="38" spans="1:12" s="176" customFormat="1" hidden="1">
      <c r="A38" s="173">
        <f t="shared" si="2"/>
        <v>43524</v>
      </c>
      <c r="B38" s="173">
        <f t="shared" si="3"/>
        <v>43555</v>
      </c>
      <c r="C38" s="173"/>
      <c r="D38" s="174">
        <f t="shared" si="4"/>
        <v>138961.17819209039</v>
      </c>
      <c r="E38" s="174">
        <f t="shared" si="5"/>
        <v>21677943.797966104</v>
      </c>
      <c r="F38" s="175">
        <f t="shared" si="1"/>
        <v>113350.94185390633</v>
      </c>
      <c r="G38" s="175"/>
      <c r="H38" s="174">
        <f t="shared" si="6"/>
        <v>252312.12004599674</v>
      </c>
      <c r="J38" s="177">
        <f t="shared" si="7"/>
        <v>56069.360010221499</v>
      </c>
    </row>
    <row r="39" spans="1:12" s="176" customFormat="1" hidden="1">
      <c r="A39" s="173">
        <f t="shared" si="2"/>
        <v>43555</v>
      </c>
      <c r="B39" s="173">
        <f t="shared" si="3"/>
        <v>43585</v>
      </c>
      <c r="C39" s="173"/>
      <c r="D39" s="174">
        <f t="shared" si="4"/>
        <v>138961.17819209039</v>
      </c>
      <c r="E39" s="174">
        <f t="shared" si="5"/>
        <v>21538982.619774014</v>
      </c>
      <c r="F39" s="175">
        <f t="shared" si="1"/>
        <v>124696.35004674502</v>
      </c>
      <c r="G39" s="175"/>
      <c r="H39" s="174">
        <f t="shared" si="6"/>
        <v>263657.5282388354</v>
      </c>
      <c r="J39" s="177">
        <f t="shared" si="7"/>
        <v>58590.561830852312</v>
      </c>
    </row>
    <row r="40" spans="1:12" s="176" customFormat="1" hidden="1">
      <c r="A40" s="173">
        <f t="shared" si="2"/>
        <v>43585</v>
      </c>
      <c r="B40" s="173">
        <f t="shared" si="3"/>
        <v>43616</v>
      </c>
      <c r="C40" s="173"/>
      <c r="D40" s="174">
        <f t="shared" si="4"/>
        <v>138961.17819209039</v>
      </c>
      <c r="E40" s="174">
        <f t="shared" si="5"/>
        <v>21400021.441581924</v>
      </c>
      <c r="F40" s="175">
        <f t="shared" si="1"/>
        <v>119900.33658340869</v>
      </c>
      <c r="G40" s="175"/>
      <c r="H40" s="174">
        <f t="shared" si="6"/>
        <v>258861.51477549906</v>
      </c>
      <c r="J40" s="177">
        <f t="shared" si="7"/>
        <v>57524.781061222013</v>
      </c>
    </row>
    <row r="41" spans="1:12" s="176" customFormat="1" hidden="1">
      <c r="A41" s="173">
        <f t="shared" si="2"/>
        <v>43616</v>
      </c>
      <c r="B41" s="173">
        <f t="shared" si="3"/>
        <v>43646</v>
      </c>
      <c r="C41" s="173"/>
      <c r="D41" s="174">
        <f t="shared" si="4"/>
        <v>138961.17819209039</v>
      </c>
      <c r="E41" s="174">
        <f t="shared" si="5"/>
        <v>21261060.263389833</v>
      </c>
      <c r="F41" s="175">
        <f t="shared" si="1"/>
        <v>123097.67889229958</v>
      </c>
      <c r="G41" s="175"/>
      <c r="H41" s="174">
        <f t="shared" si="6"/>
        <v>262058.85708438995</v>
      </c>
      <c r="J41" s="177">
        <f t="shared" si="7"/>
        <v>58235.301574308876</v>
      </c>
    </row>
    <row r="42" spans="1:12" s="176" customFormat="1" hidden="1">
      <c r="A42" s="173">
        <f t="shared" si="2"/>
        <v>43646</v>
      </c>
      <c r="B42" s="173">
        <f t="shared" si="3"/>
        <v>43677</v>
      </c>
      <c r="C42" s="173"/>
      <c r="D42" s="174">
        <f t="shared" si="4"/>
        <v>138961.17819209039</v>
      </c>
      <c r="E42" s="174">
        <f t="shared" si="5"/>
        <v>21122099.085197743</v>
      </c>
      <c r="F42" s="175">
        <f t="shared" si="1"/>
        <v>118353.2354662034</v>
      </c>
      <c r="G42" s="175"/>
      <c r="H42" s="174">
        <f t="shared" si="6"/>
        <v>257314.41365829378</v>
      </c>
      <c r="J42" s="177">
        <f t="shared" si="7"/>
        <v>57180.980812954171</v>
      </c>
    </row>
    <row r="43" spans="1:12" s="176" customFormat="1" hidden="1">
      <c r="A43" s="173">
        <f t="shared" si="2"/>
        <v>43677</v>
      </c>
      <c r="B43" s="173">
        <f t="shared" si="3"/>
        <v>43708</v>
      </c>
      <c r="C43" s="173"/>
      <c r="D43" s="174">
        <f t="shared" si="4"/>
        <v>138961.17819209039</v>
      </c>
      <c r="E43" s="174">
        <f t="shared" si="5"/>
        <v>20983137.907005653</v>
      </c>
      <c r="F43" s="175">
        <f t="shared" si="1"/>
        <v>121499.00773785415</v>
      </c>
      <c r="G43" s="175"/>
      <c r="H43" s="174">
        <f t="shared" si="6"/>
        <v>260460.18592994454</v>
      </c>
      <c r="J43" s="177">
        <f t="shared" si="7"/>
        <v>57880.041317765455</v>
      </c>
    </row>
    <row r="44" spans="1:12" s="176" customFormat="1" hidden="1">
      <c r="A44" s="173">
        <f t="shared" si="2"/>
        <v>43708</v>
      </c>
      <c r="B44" s="173">
        <f t="shared" si="3"/>
        <v>43738</v>
      </c>
      <c r="C44" s="173"/>
      <c r="D44" s="174">
        <f t="shared" si="4"/>
        <v>138961.17819209039</v>
      </c>
      <c r="E44" s="174">
        <f t="shared" si="5"/>
        <v>20844176.728813563</v>
      </c>
      <c r="F44" s="175">
        <f t="shared" si="1"/>
        <v>120699.67216063139</v>
      </c>
      <c r="G44" s="175"/>
      <c r="H44" s="174">
        <f t="shared" si="6"/>
        <v>259660.85035272178</v>
      </c>
      <c r="J44" s="177">
        <f t="shared" si="7"/>
        <v>57702.41118949373</v>
      </c>
    </row>
    <row r="45" spans="1:12" s="176" customFormat="1" hidden="1">
      <c r="A45" s="173">
        <f t="shared" si="2"/>
        <v>43738</v>
      </c>
      <c r="B45" s="173">
        <f t="shared" si="3"/>
        <v>43769</v>
      </c>
      <c r="C45" s="173"/>
      <c r="D45" s="174">
        <f t="shared" si="4"/>
        <v>138961.17819209039</v>
      </c>
      <c r="E45" s="174">
        <f t="shared" si="5"/>
        <v>20705215.550621472</v>
      </c>
      <c r="F45" s="175">
        <f t="shared" si="1"/>
        <v>116032.5837903955</v>
      </c>
      <c r="G45" s="175"/>
      <c r="H45" s="174">
        <f t="shared" si="6"/>
        <v>254993.76198248588</v>
      </c>
      <c r="J45" s="177">
        <f t="shared" si="7"/>
        <v>56665.280440552422</v>
      </c>
    </row>
    <row r="46" spans="1:12" s="176" customFormat="1" hidden="1">
      <c r="A46" s="173">
        <f t="shared" si="2"/>
        <v>43769</v>
      </c>
      <c r="B46" s="173">
        <f t="shared" si="3"/>
        <v>43799</v>
      </c>
      <c r="C46" s="173"/>
      <c r="D46" s="174">
        <f t="shared" si="4"/>
        <v>138961.17819209039</v>
      </c>
      <c r="E46" s="174">
        <f t="shared" si="5"/>
        <v>20566254.372429382</v>
      </c>
      <c r="F46" s="175">
        <f t="shared" si="1"/>
        <v>119101.00100618595</v>
      </c>
      <c r="G46" s="175"/>
      <c r="H46" s="174">
        <f t="shared" si="6"/>
        <v>258062.17919827634</v>
      </c>
      <c r="J46" s="177">
        <f t="shared" si="7"/>
        <v>57347.150932950295</v>
      </c>
    </row>
    <row r="47" spans="1:12" s="176" customFormat="1" hidden="1">
      <c r="A47" s="173">
        <f t="shared" si="2"/>
        <v>43799</v>
      </c>
      <c r="B47" s="173">
        <f t="shared" si="3"/>
        <v>43830</v>
      </c>
      <c r="C47" s="173"/>
      <c r="D47" s="174">
        <f t="shared" si="4"/>
        <v>138961.17819209039</v>
      </c>
      <c r="E47" s="174">
        <f t="shared" si="5"/>
        <v>20427293.194237292</v>
      </c>
      <c r="F47" s="175">
        <f t="shared" si="1"/>
        <v>114485.48267319023</v>
      </c>
      <c r="G47" s="175"/>
      <c r="H47" s="174">
        <f t="shared" si="6"/>
        <v>253446.6608652806</v>
      </c>
      <c r="J47" s="177">
        <f t="shared" si="7"/>
        <v>56321.48019228458</v>
      </c>
    </row>
    <row r="48" spans="1:12" s="171" customFormat="1" hidden="1">
      <c r="A48" s="168">
        <f t="shared" si="2"/>
        <v>43830</v>
      </c>
      <c r="B48" s="168">
        <f t="shared" si="3"/>
        <v>43861</v>
      </c>
      <c r="C48" s="168"/>
      <c r="D48" s="169">
        <f t="shared" si="4"/>
        <v>138961.17819209039</v>
      </c>
      <c r="E48" s="169">
        <f t="shared" si="5"/>
        <v>20288332.016045202</v>
      </c>
      <c r="F48" s="170">
        <f t="shared" si="1"/>
        <v>117502.32985174052</v>
      </c>
      <c r="G48" s="170"/>
      <c r="H48" s="169">
        <f t="shared" si="6"/>
        <v>256463.50804383092</v>
      </c>
      <c r="J48" s="172">
        <f t="shared" si="7"/>
        <v>56991.890676406874</v>
      </c>
    </row>
    <row r="49" spans="1:17" s="176" customFormat="1" hidden="1">
      <c r="A49" s="173">
        <f t="shared" si="2"/>
        <v>43861</v>
      </c>
      <c r="B49" s="173">
        <f t="shared" si="3"/>
        <v>43890</v>
      </c>
      <c r="C49" s="173"/>
      <c r="D49" s="174">
        <f t="shared" si="4"/>
        <v>138961.17819209039</v>
      </c>
      <c r="E49" s="174">
        <f t="shared" si="5"/>
        <v>20149370.837853111</v>
      </c>
      <c r="F49" s="175">
        <f t="shared" si="1"/>
        <v>116702.99427451778</v>
      </c>
      <c r="G49" s="175"/>
      <c r="H49" s="174">
        <f t="shared" si="6"/>
        <v>255664.17246660817</v>
      </c>
      <c r="J49" s="177">
        <f t="shared" si="7"/>
        <v>56814.260548135149</v>
      </c>
      <c r="K49" s="177">
        <f>SUM(D37:D48)</f>
        <v>1667534.138305085</v>
      </c>
      <c r="L49" s="177">
        <f>SUM(F37:F48)</f>
        <v>1435013.6412637513</v>
      </c>
    </row>
    <row r="50" spans="1:17" s="176" customFormat="1" hidden="1">
      <c r="A50" s="173">
        <f t="shared" si="2"/>
        <v>43890</v>
      </c>
      <c r="B50" s="173">
        <f t="shared" si="3"/>
        <v>43921</v>
      </c>
      <c r="C50" s="173"/>
      <c r="D50" s="174">
        <f t="shared" si="4"/>
        <v>138961.17819209039</v>
      </c>
      <c r="E50" s="174">
        <f t="shared" si="5"/>
        <v>20010409.659661021</v>
      </c>
      <c r="F50" s="175">
        <f t="shared" si="1"/>
        <v>108426.00329746958</v>
      </c>
      <c r="G50" s="175"/>
      <c r="H50" s="174">
        <f t="shared" si="6"/>
        <v>247387.18148955997</v>
      </c>
      <c r="J50" s="177">
        <f t="shared" si="7"/>
        <v>54974.929219902217</v>
      </c>
    </row>
    <row r="51" spans="1:17" s="176" customFormat="1" hidden="1">
      <c r="A51" s="173">
        <f t="shared" si="2"/>
        <v>43921</v>
      </c>
      <c r="B51" s="173">
        <f t="shared" si="3"/>
        <v>43951</v>
      </c>
      <c r="C51" s="173"/>
      <c r="D51" s="174">
        <f t="shared" si="4"/>
        <v>138961.17819209039</v>
      </c>
      <c r="E51" s="174">
        <f t="shared" si="5"/>
        <v>19871448.481468931</v>
      </c>
      <c r="F51" s="175">
        <f t="shared" si="1"/>
        <v>115104.32312007234</v>
      </c>
      <c r="G51" s="175"/>
      <c r="H51" s="174">
        <f t="shared" si="6"/>
        <v>254065.50131216273</v>
      </c>
      <c r="J51" s="177">
        <f t="shared" si="7"/>
        <v>56459.000291591714</v>
      </c>
    </row>
    <row r="52" spans="1:17" s="176" customFormat="1" hidden="1">
      <c r="A52" s="173">
        <f t="shared" si="2"/>
        <v>43951</v>
      </c>
      <c r="B52" s="173">
        <f t="shared" si="3"/>
        <v>43982</v>
      </c>
      <c r="C52" s="173"/>
      <c r="D52" s="174">
        <f t="shared" si="4"/>
        <v>138961.17819209039</v>
      </c>
      <c r="E52" s="174">
        <f t="shared" si="5"/>
        <v>19732487.303276841</v>
      </c>
      <c r="F52" s="175">
        <f t="shared" si="1"/>
        <v>110617.72988017704</v>
      </c>
      <c r="G52" s="175"/>
      <c r="H52" s="174">
        <f t="shared" si="6"/>
        <v>249578.90807226743</v>
      </c>
      <c r="J52" s="177">
        <f t="shared" si="7"/>
        <v>55461.979571614982</v>
      </c>
    </row>
    <row r="53" spans="1:17" s="176" customFormat="1" hidden="1">
      <c r="A53" s="173">
        <f t="shared" si="2"/>
        <v>43982</v>
      </c>
      <c r="B53" s="173">
        <f t="shared" si="3"/>
        <v>44012</v>
      </c>
      <c r="C53" s="173"/>
      <c r="D53" s="174">
        <f t="shared" si="4"/>
        <v>138961.17819209039</v>
      </c>
      <c r="E53" s="174">
        <f t="shared" si="5"/>
        <v>19593526.12508475</v>
      </c>
      <c r="F53" s="175">
        <f t="shared" si="1"/>
        <v>113505.65196562689</v>
      </c>
      <c r="G53" s="175"/>
      <c r="H53" s="174">
        <f t="shared" si="6"/>
        <v>252466.83015771728</v>
      </c>
      <c r="J53" s="177">
        <f t="shared" si="7"/>
        <v>56103.740035048286</v>
      </c>
    </row>
    <row r="54" spans="1:17" s="176" customFormat="1" hidden="1">
      <c r="A54" s="173">
        <f t="shared" si="2"/>
        <v>44012</v>
      </c>
      <c r="B54" s="173">
        <f t="shared" si="3"/>
        <v>44043</v>
      </c>
      <c r="C54" s="173"/>
      <c r="D54" s="174">
        <f t="shared" si="4"/>
        <v>138961.17819209039</v>
      </c>
      <c r="E54" s="174">
        <f t="shared" si="5"/>
        <v>19454564.94689266</v>
      </c>
      <c r="F54" s="175">
        <f t="shared" si="1"/>
        <v>109070.62876297177</v>
      </c>
      <c r="G54" s="175"/>
      <c r="H54" s="174">
        <f t="shared" si="6"/>
        <v>248031.80695506214</v>
      </c>
      <c r="J54" s="177">
        <f t="shared" si="7"/>
        <v>55118.17932334714</v>
      </c>
    </row>
    <row r="55" spans="1:17" s="176" customFormat="1" hidden="1">
      <c r="A55" s="173">
        <f t="shared" si="2"/>
        <v>44043</v>
      </c>
      <c r="B55" s="173">
        <f t="shared" si="3"/>
        <v>44074</v>
      </c>
      <c r="C55" s="173"/>
      <c r="D55" s="174">
        <f t="shared" si="4"/>
        <v>138961.17819209039</v>
      </c>
      <c r="E55" s="174">
        <f t="shared" si="5"/>
        <v>19315603.76870057</v>
      </c>
      <c r="F55" s="175">
        <f t="shared" si="1"/>
        <v>111906.98081118146</v>
      </c>
      <c r="G55" s="175"/>
      <c r="H55" s="174">
        <f t="shared" si="6"/>
        <v>250868.15900327184</v>
      </c>
      <c r="J55" s="177">
        <f t="shared" si="7"/>
        <v>55748.47977850485</v>
      </c>
    </row>
    <row r="56" spans="1:17" s="176" customFormat="1" hidden="1">
      <c r="A56" s="173">
        <f t="shared" si="2"/>
        <v>44074</v>
      </c>
      <c r="B56" s="173">
        <f t="shared" si="3"/>
        <v>44104</v>
      </c>
      <c r="C56" s="173"/>
      <c r="D56" s="174">
        <f t="shared" si="4"/>
        <v>138961.17819209039</v>
      </c>
      <c r="E56" s="174">
        <f t="shared" si="5"/>
        <v>19176642.59050848</v>
      </c>
      <c r="F56" s="175">
        <f t="shared" si="1"/>
        <v>111107.64523395871</v>
      </c>
      <c r="G56" s="175"/>
      <c r="H56" s="174">
        <f t="shared" si="6"/>
        <v>250068.82342604909</v>
      </c>
      <c r="J56" s="177">
        <f t="shared" si="7"/>
        <v>55570.849650233133</v>
      </c>
    </row>
    <row r="57" spans="1:17" s="176" customFormat="1" hidden="1">
      <c r="A57" s="173">
        <f t="shared" si="2"/>
        <v>44104</v>
      </c>
      <c r="B57" s="173">
        <f t="shared" si="3"/>
        <v>44135</v>
      </c>
      <c r="C57" s="173"/>
      <c r="D57" s="174">
        <f t="shared" si="4"/>
        <v>138961.17819209039</v>
      </c>
      <c r="E57" s="174">
        <f t="shared" si="5"/>
        <v>19037681.412316389</v>
      </c>
      <c r="F57" s="175">
        <f t="shared" si="1"/>
        <v>106749.97708716389</v>
      </c>
      <c r="G57" s="175"/>
      <c r="H57" s="174">
        <f t="shared" si="6"/>
        <v>245711.15527925428</v>
      </c>
      <c r="J57" s="177">
        <f t="shared" si="7"/>
        <v>54602.478950945399</v>
      </c>
    </row>
    <row r="58" spans="1:17" s="176" customFormat="1" hidden="1">
      <c r="A58" s="173">
        <f t="shared" si="2"/>
        <v>44135</v>
      </c>
      <c r="B58" s="173">
        <f t="shared" si="3"/>
        <v>44165</v>
      </c>
      <c r="C58" s="173"/>
      <c r="D58" s="174">
        <f t="shared" si="4"/>
        <v>138961.17819209039</v>
      </c>
      <c r="E58" s="174">
        <f t="shared" si="5"/>
        <v>18898720.234124299</v>
      </c>
      <c r="F58" s="175">
        <f t="shared" si="1"/>
        <v>109508.97407951325</v>
      </c>
      <c r="G58" s="175"/>
      <c r="H58" s="174">
        <f t="shared" si="6"/>
        <v>248470.15227160364</v>
      </c>
      <c r="J58" s="177">
        <f t="shared" si="7"/>
        <v>55215.589393689697</v>
      </c>
    </row>
    <row r="59" spans="1:17" s="176" customFormat="1" hidden="1">
      <c r="A59" s="173">
        <f t="shared" si="2"/>
        <v>44165</v>
      </c>
      <c r="B59" s="173">
        <f t="shared" si="3"/>
        <v>44196</v>
      </c>
      <c r="C59" s="173"/>
      <c r="D59" s="174">
        <f t="shared" si="4"/>
        <v>138961.17819209039</v>
      </c>
      <c r="E59" s="174">
        <f t="shared" si="5"/>
        <v>18759759.055932209</v>
      </c>
      <c r="F59" s="175">
        <f t="shared" si="1"/>
        <v>105202.87596995859</v>
      </c>
      <c r="G59" s="175"/>
      <c r="H59" s="174">
        <f t="shared" si="6"/>
        <v>244164.05416204897</v>
      </c>
      <c r="J59" s="177">
        <f t="shared" si="7"/>
        <v>54258.678702677549</v>
      </c>
    </row>
    <row r="60" spans="1:17" s="171" customFormat="1" hidden="1">
      <c r="A60" s="168">
        <f t="shared" si="2"/>
        <v>44196</v>
      </c>
      <c r="B60" s="168">
        <f t="shared" si="3"/>
        <v>44227</v>
      </c>
      <c r="C60" s="168"/>
      <c r="D60" s="169">
        <f t="shared" si="4"/>
        <v>138961.17819209039</v>
      </c>
      <c r="E60" s="169">
        <f t="shared" si="5"/>
        <v>18620797.877740119</v>
      </c>
      <c r="F60" s="170">
        <f t="shared" si="1"/>
        <v>107910.30292506782</v>
      </c>
      <c r="G60" s="170"/>
      <c r="H60" s="169">
        <f t="shared" si="6"/>
        <v>246871.4811171582</v>
      </c>
      <c r="J60" s="172">
        <f t="shared" si="7"/>
        <v>54860.329137146269</v>
      </c>
    </row>
    <row r="61" spans="1:17" s="176" customFormat="1" hidden="1">
      <c r="A61" s="173">
        <f t="shared" si="2"/>
        <v>44227</v>
      </c>
      <c r="B61" s="173">
        <f t="shared" si="3"/>
        <v>44255</v>
      </c>
      <c r="C61" s="173"/>
      <c r="D61" s="174">
        <f t="shared" si="4"/>
        <v>138961.17819209039</v>
      </c>
      <c r="E61" s="174">
        <f t="shared" si="5"/>
        <v>18481836.699548028</v>
      </c>
      <c r="F61" s="175">
        <f t="shared" si="1"/>
        <v>107110.9673478451</v>
      </c>
      <c r="G61" s="175"/>
      <c r="H61" s="174">
        <f t="shared" si="6"/>
        <v>246072.1455399355</v>
      </c>
      <c r="J61" s="177">
        <f t="shared" si="7"/>
        <v>54682.699008874559</v>
      </c>
      <c r="K61" s="177">
        <f>SUM(D49:D60)</f>
        <v>1667534.138305085</v>
      </c>
      <c r="L61" s="177">
        <f>SUM(F49:F60)</f>
        <v>1325814.0874076788</v>
      </c>
    </row>
    <row r="62" spans="1:17" s="176" customFormat="1" hidden="1">
      <c r="A62" s="173">
        <f t="shared" si="2"/>
        <v>44255</v>
      </c>
      <c r="B62" s="173">
        <f t="shared" si="3"/>
        <v>44286</v>
      </c>
      <c r="C62" s="173"/>
      <c r="D62" s="174">
        <f t="shared" si="4"/>
        <v>138961.17819209039</v>
      </c>
      <c r="E62" s="174">
        <f t="shared" si="5"/>
        <v>18342875.521355938</v>
      </c>
      <c r="F62" s="175">
        <f t="shared" si="1"/>
        <v>96023.409341207313</v>
      </c>
      <c r="G62" s="175"/>
      <c r="H62" s="174">
        <f t="shared" si="6"/>
        <v>234984.58753329772</v>
      </c>
      <c r="J62" s="177">
        <f t="shared" si="7"/>
        <v>52218.797229621712</v>
      </c>
    </row>
    <row r="63" spans="1:17" s="176" customFormat="1" hidden="1">
      <c r="A63" s="173">
        <f t="shared" si="2"/>
        <v>44286</v>
      </c>
      <c r="B63" s="173">
        <f t="shared" si="3"/>
        <v>44316</v>
      </c>
      <c r="C63" s="173"/>
      <c r="D63" s="174">
        <f t="shared" si="4"/>
        <v>138961.17819209039</v>
      </c>
      <c r="E63" s="174">
        <f t="shared" si="5"/>
        <v>18203914.343163848</v>
      </c>
      <c r="F63" s="175">
        <f t="shared" si="1"/>
        <v>105512.29619339966</v>
      </c>
      <c r="G63" s="175"/>
      <c r="H63" s="174">
        <f t="shared" si="6"/>
        <v>244473.47438549006</v>
      </c>
      <c r="J63" s="177">
        <f t="shared" si="7"/>
        <v>54327.438752331123</v>
      </c>
    </row>
    <row r="64" spans="1:17" s="176" customFormat="1" hidden="1">
      <c r="A64" s="173">
        <f t="shared" si="2"/>
        <v>44316</v>
      </c>
      <c r="B64" s="173">
        <f t="shared" si="3"/>
        <v>44347</v>
      </c>
      <c r="C64" s="173"/>
      <c r="D64" s="174">
        <f t="shared" si="4"/>
        <v>138961.17819209039</v>
      </c>
      <c r="E64" s="174">
        <f t="shared" si="5"/>
        <v>18064953.164971758</v>
      </c>
      <c r="F64" s="175">
        <f t="shared" si="1"/>
        <v>101335.12317694542</v>
      </c>
      <c r="G64" s="175"/>
      <c r="H64" s="174">
        <f t="shared" si="6"/>
        <v>240296.30136903579</v>
      </c>
      <c r="J64" s="177">
        <f t="shared" si="7"/>
        <v>53399.178082007951</v>
      </c>
      <c r="Q64" s="176">
        <f>139000+4000</f>
        <v>143000</v>
      </c>
    </row>
    <row r="65" spans="1:12" s="176" customFormat="1" hidden="1">
      <c r="A65" s="173">
        <f t="shared" si="2"/>
        <v>44347</v>
      </c>
      <c r="B65" s="173">
        <f t="shared" si="3"/>
        <v>44377</v>
      </c>
      <c r="C65" s="173"/>
      <c r="D65" s="174">
        <f t="shared" si="4"/>
        <v>138961.17819209039</v>
      </c>
      <c r="E65" s="174">
        <f t="shared" si="5"/>
        <v>17925991.986779667</v>
      </c>
      <c r="F65" s="175">
        <f t="shared" si="1"/>
        <v>103913.62503895423</v>
      </c>
      <c r="G65" s="175"/>
      <c r="H65" s="174">
        <f t="shared" si="6"/>
        <v>242874.80323104461</v>
      </c>
      <c r="J65" s="177">
        <f t="shared" si="7"/>
        <v>53972.178495787695</v>
      </c>
    </row>
    <row r="66" spans="1:12" s="176" customFormat="1" hidden="1">
      <c r="A66" s="173">
        <f t="shared" si="2"/>
        <v>44377</v>
      </c>
      <c r="B66" s="173">
        <f t="shared" si="3"/>
        <v>44408</v>
      </c>
      <c r="C66" s="173"/>
      <c r="D66" s="174">
        <f t="shared" si="4"/>
        <v>138961.17819209039</v>
      </c>
      <c r="E66" s="174">
        <f t="shared" si="5"/>
        <v>17787030.808587577</v>
      </c>
      <c r="F66" s="175">
        <f t="shared" si="1"/>
        <v>99788.022059740149</v>
      </c>
      <c r="G66" s="175"/>
      <c r="H66" s="174">
        <f t="shared" si="6"/>
        <v>238749.20025183054</v>
      </c>
      <c r="J66" s="177">
        <f t="shared" si="7"/>
        <v>53055.377833740116</v>
      </c>
    </row>
    <row r="67" spans="1:12" s="176" customFormat="1" hidden="1">
      <c r="A67" s="173">
        <f t="shared" si="2"/>
        <v>44408</v>
      </c>
      <c r="B67" s="173">
        <f t="shared" si="3"/>
        <v>44439</v>
      </c>
      <c r="C67" s="173"/>
      <c r="D67" s="174">
        <f t="shared" si="4"/>
        <v>138961.17819209039</v>
      </c>
      <c r="E67" s="174">
        <f t="shared" si="5"/>
        <v>17648069.630395487</v>
      </c>
      <c r="F67" s="175">
        <f t="shared" si="1"/>
        <v>102314.95388450877</v>
      </c>
      <c r="G67" s="175"/>
      <c r="H67" s="174">
        <f t="shared" si="6"/>
        <v>241276.13207659917</v>
      </c>
      <c r="J67" s="177">
        <f t="shared" si="7"/>
        <v>53616.91823924426</v>
      </c>
    </row>
    <row r="68" spans="1:12" s="176" customFormat="1" hidden="1">
      <c r="A68" s="173">
        <f t="shared" si="2"/>
        <v>44439</v>
      </c>
      <c r="B68" s="173">
        <f t="shared" si="3"/>
        <v>44469</v>
      </c>
      <c r="C68" s="173"/>
      <c r="D68" s="174">
        <f t="shared" si="4"/>
        <v>138961.17819209039</v>
      </c>
      <c r="E68" s="174">
        <f t="shared" si="5"/>
        <v>17509108.452203397</v>
      </c>
      <c r="F68" s="175">
        <f t="shared" si="1"/>
        <v>101515.61830728603</v>
      </c>
      <c r="G68" s="175"/>
      <c r="H68" s="174">
        <f t="shared" si="6"/>
        <v>240476.79649937642</v>
      </c>
      <c r="J68" s="177">
        <f t="shared" si="7"/>
        <v>53439.288110972535</v>
      </c>
    </row>
    <row r="69" spans="1:12" s="176" customFormat="1" hidden="1">
      <c r="A69" s="173">
        <f t="shared" si="2"/>
        <v>44469</v>
      </c>
      <c r="B69" s="173">
        <f t="shared" si="3"/>
        <v>44500</v>
      </c>
      <c r="C69" s="173"/>
      <c r="D69" s="174">
        <f t="shared" si="4"/>
        <v>138961.17819209039</v>
      </c>
      <c r="E69" s="174">
        <f t="shared" si="5"/>
        <v>17370147.274011306</v>
      </c>
      <c r="F69" s="175">
        <f t="shared" si="1"/>
        <v>97467.370383932241</v>
      </c>
      <c r="G69" s="175"/>
      <c r="H69" s="174">
        <f t="shared" si="6"/>
        <v>236428.54857602261</v>
      </c>
      <c r="J69" s="177">
        <f t="shared" si="7"/>
        <v>52539.67746133836</v>
      </c>
    </row>
    <row r="70" spans="1:12" s="176" customFormat="1" hidden="1">
      <c r="A70" s="173">
        <f t="shared" si="2"/>
        <v>44500</v>
      </c>
      <c r="B70" s="173">
        <f t="shared" si="3"/>
        <v>44530</v>
      </c>
      <c r="C70" s="173"/>
      <c r="D70" s="174">
        <f t="shared" si="4"/>
        <v>138961.17819209039</v>
      </c>
      <c r="E70" s="174">
        <f t="shared" si="5"/>
        <v>17231186.095819216</v>
      </c>
      <c r="F70" s="175">
        <f t="shared" si="1"/>
        <v>99916.947152840599</v>
      </c>
      <c r="G70" s="175"/>
      <c r="H70" s="174">
        <f t="shared" si="6"/>
        <v>238878.12534493097</v>
      </c>
      <c r="J70" s="177">
        <f t="shared" si="7"/>
        <v>53084.027854429107</v>
      </c>
    </row>
    <row r="71" spans="1:12" s="176" customFormat="1" hidden="1">
      <c r="A71" s="173">
        <f t="shared" si="2"/>
        <v>44530</v>
      </c>
      <c r="B71" s="173">
        <f t="shared" si="3"/>
        <v>44561</v>
      </c>
      <c r="C71" s="173"/>
      <c r="D71" s="174">
        <f t="shared" si="4"/>
        <v>138961.17819209039</v>
      </c>
      <c r="E71" s="174">
        <f t="shared" si="5"/>
        <v>17092224.917627126</v>
      </c>
      <c r="F71" s="175">
        <f t="shared" si="1"/>
        <v>95920.269266726973</v>
      </c>
      <c r="G71" s="175"/>
      <c r="H71" s="174">
        <f t="shared" si="6"/>
        <v>234881.44745881736</v>
      </c>
      <c r="J71" s="177">
        <f t="shared" si="7"/>
        <v>52195.877213070526</v>
      </c>
    </row>
    <row r="72" spans="1:12" s="171" customFormat="1" hidden="1">
      <c r="A72" s="168">
        <f t="shared" si="2"/>
        <v>44561</v>
      </c>
      <c r="B72" s="168">
        <f t="shared" si="3"/>
        <v>44592</v>
      </c>
      <c r="C72" s="168"/>
      <c r="D72" s="169">
        <f t="shared" si="4"/>
        <v>138961.17819209039</v>
      </c>
      <c r="E72" s="169">
        <f t="shared" si="5"/>
        <v>16953263.739435036</v>
      </c>
      <c r="F72" s="170">
        <f t="shared" si="1"/>
        <v>98318.27599839514</v>
      </c>
      <c r="G72" s="170"/>
      <c r="H72" s="169">
        <f t="shared" si="6"/>
        <v>237279.45419048553</v>
      </c>
      <c r="J72" s="172">
        <f t="shared" si="7"/>
        <v>52728.767597885671</v>
      </c>
    </row>
    <row r="73" spans="1:12" s="176" customFormat="1">
      <c r="A73" s="173">
        <f t="shared" si="2"/>
        <v>44592</v>
      </c>
      <c r="B73" s="173">
        <f t="shared" si="3"/>
        <v>44620</v>
      </c>
      <c r="C73" s="173"/>
      <c r="D73" s="174">
        <f t="shared" si="4"/>
        <v>138961.17819209039</v>
      </c>
      <c r="E73" s="174">
        <f t="shared" si="5"/>
        <v>16814302.561242945</v>
      </c>
      <c r="F73" s="175">
        <f t="shared" si="1"/>
        <v>97518.940421172418</v>
      </c>
      <c r="G73" s="175"/>
      <c r="H73" s="174">
        <f t="shared" si="6"/>
        <v>236480.11861326281</v>
      </c>
      <c r="J73" s="177">
        <f t="shared" si="7"/>
        <v>52551.137469613954</v>
      </c>
      <c r="K73" s="177">
        <f>SUM(D61:D72)</f>
        <v>1667534.138305085</v>
      </c>
      <c r="L73" s="177">
        <f>SUM(F61:F72)</f>
        <v>1209136.8781517816</v>
      </c>
    </row>
    <row r="74" spans="1:12" s="176" customFormat="1">
      <c r="A74" s="173">
        <f t="shared" si="2"/>
        <v>44620</v>
      </c>
      <c r="B74" s="173">
        <f t="shared" si="3"/>
        <v>44651</v>
      </c>
      <c r="C74" s="173"/>
      <c r="D74" s="174">
        <f t="shared" si="4"/>
        <v>138961.17819209039</v>
      </c>
      <c r="E74" s="174">
        <f t="shared" si="5"/>
        <v>16675341.383050855</v>
      </c>
      <c r="F74" s="175">
        <f t="shared" si="1"/>
        <v>87359.643084857802</v>
      </c>
      <c r="G74" s="175"/>
      <c r="H74" s="174">
        <f t="shared" si="6"/>
        <v>226320.82127694821</v>
      </c>
      <c r="J74" s="177">
        <f t="shared" si="7"/>
        <v>50293.515839321823</v>
      </c>
    </row>
    <row r="75" spans="1:12" s="176" customFormat="1">
      <c r="A75" s="173">
        <f t="shared" si="2"/>
        <v>44651</v>
      </c>
      <c r="B75" s="173">
        <f t="shared" si="3"/>
        <v>44681</v>
      </c>
      <c r="C75" s="173"/>
      <c r="D75" s="174">
        <f t="shared" si="4"/>
        <v>138961.17819209039</v>
      </c>
      <c r="E75" s="174">
        <f t="shared" si="5"/>
        <v>16536380.204858765</v>
      </c>
      <c r="F75" s="175">
        <f t="shared" si="1"/>
        <v>95920.269266726973</v>
      </c>
      <c r="G75" s="175"/>
      <c r="H75" s="174">
        <f t="shared" si="6"/>
        <v>234881.44745881736</v>
      </c>
      <c r="J75" s="177">
        <f t="shared" si="7"/>
        <v>52195.877213070526</v>
      </c>
    </row>
    <row r="76" spans="1:12" s="176" customFormat="1">
      <c r="A76" s="173">
        <f t="shared" si="2"/>
        <v>44681</v>
      </c>
      <c r="B76" s="173">
        <f t="shared" si="3"/>
        <v>44712</v>
      </c>
      <c r="C76" s="173"/>
      <c r="D76" s="174">
        <f t="shared" si="4"/>
        <v>138961.17819209039</v>
      </c>
      <c r="E76" s="174">
        <f t="shared" si="5"/>
        <v>16397419.026666675</v>
      </c>
      <c r="F76" s="175">
        <f t="shared" si="1"/>
        <v>92052.516473713782</v>
      </c>
      <c r="G76" s="175"/>
      <c r="H76" s="174">
        <f t="shared" si="6"/>
        <v>231013.69466580416</v>
      </c>
      <c r="J76" s="177">
        <f t="shared" si="7"/>
        <v>51336.37659240092</v>
      </c>
    </row>
    <row r="77" spans="1:12" s="176" customFormat="1">
      <c r="A77" s="173">
        <f t="shared" si="2"/>
        <v>44712</v>
      </c>
      <c r="B77" s="173">
        <f t="shared" si="3"/>
        <v>44742</v>
      </c>
      <c r="C77" s="173"/>
      <c r="D77" s="174">
        <f t="shared" si="4"/>
        <v>138961.17819209039</v>
      </c>
      <c r="E77" s="174">
        <f t="shared" si="5"/>
        <v>16258457.848474585</v>
      </c>
      <c r="F77" s="175">
        <f t="shared" si="1"/>
        <v>94321.598112281514</v>
      </c>
      <c r="G77" s="175"/>
      <c r="H77" s="174">
        <f t="shared" si="6"/>
        <v>233282.77630437189</v>
      </c>
      <c r="J77" s="177">
        <f t="shared" si="7"/>
        <v>51840.616956527083</v>
      </c>
    </row>
    <row r="78" spans="1:12" s="176" customFormat="1">
      <c r="A78" s="173">
        <f t="shared" si="2"/>
        <v>44742</v>
      </c>
      <c r="B78" s="173">
        <f t="shared" si="3"/>
        <v>44773</v>
      </c>
      <c r="C78" s="173"/>
      <c r="D78" s="174">
        <f t="shared" si="4"/>
        <v>138961.17819209039</v>
      </c>
      <c r="E78" s="174">
        <f t="shared" si="5"/>
        <v>16119496.670282494</v>
      </c>
      <c r="F78" s="175">
        <f t="shared" ref="F78:F141" si="8">E77*(B77-A77)*$D$8/360</f>
        <v>90505.415356508514</v>
      </c>
      <c r="G78" s="175"/>
      <c r="H78" s="174">
        <f t="shared" si="6"/>
        <v>229466.5935485989</v>
      </c>
      <c r="J78" s="177">
        <f t="shared" si="7"/>
        <v>50992.576344133093</v>
      </c>
    </row>
    <row r="79" spans="1:12" s="176" customFormat="1">
      <c r="A79" s="173">
        <f t="shared" si="2"/>
        <v>44773</v>
      </c>
      <c r="B79" s="173">
        <f t="shared" si="3"/>
        <v>44804</v>
      </c>
      <c r="C79" s="173"/>
      <c r="D79" s="174">
        <f t="shared" si="4"/>
        <v>138961.17819209039</v>
      </c>
      <c r="E79" s="174">
        <f t="shared" si="5"/>
        <v>15980535.492090404</v>
      </c>
      <c r="F79" s="175">
        <f t="shared" si="8"/>
        <v>92722.926957836084</v>
      </c>
      <c r="G79" s="175"/>
      <c r="H79" s="174">
        <f t="shared" si="6"/>
        <v>231684.10514992647</v>
      </c>
      <c r="J79" s="177">
        <f t="shared" si="7"/>
        <v>51485.356699983662</v>
      </c>
    </row>
    <row r="80" spans="1:12" s="176" customFormat="1">
      <c r="A80" s="173">
        <f t="shared" ref="A80:A143" si="9">EOMONTH(A79,1)</f>
        <v>44804</v>
      </c>
      <c r="B80" s="173">
        <f t="shared" ref="B80:B143" si="10">A81</f>
        <v>44834</v>
      </c>
      <c r="C80" s="173"/>
      <c r="D80" s="174">
        <f t="shared" ref="D80:D143" si="11">D79</f>
        <v>138961.17819209039</v>
      </c>
      <c r="E80" s="174">
        <f t="shared" ref="E80:E143" si="12">E79-D80</f>
        <v>15841574.313898314</v>
      </c>
      <c r="F80" s="175">
        <f t="shared" si="8"/>
        <v>91923.591380613361</v>
      </c>
      <c r="G80" s="175"/>
      <c r="H80" s="174">
        <f t="shared" ref="H80:H143" si="13">D80+F80</f>
        <v>230884.76957270375</v>
      </c>
      <c r="J80" s="177">
        <f t="shared" ref="J80:J143" si="14">H80/4.5</f>
        <v>51307.726571711944</v>
      </c>
    </row>
    <row r="81" spans="1:12" s="176" customFormat="1">
      <c r="A81" s="173">
        <f t="shared" si="9"/>
        <v>44834</v>
      </c>
      <c r="B81" s="173">
        <f t="shared" si="10"/>
        <v>44865</v>
      </c>
      <c r="C81" s="173"/>
      <c r="D81" s="174">
        <f t="shared" si="11"/>
        <v>138961.17819209039</v>
      </c>
      <c r="E81" s="174">
        <f t="shared" si="12"/>
        <v>15702613.135706224</v>
      </c>
      <c r="F81" s="175">
        <f t="shared" si="8"/>
        <v>88184.763680700606</v>
      </c>
      <c r="G81" s="175"/>
      <c r="H81" s="174">
        <f t="shared" si="13"/>
        <v>227145.94187279098</v>
      </c>
      <c r="J81" s="177">
        <f t="shared" si="14"/>
        <v>50476.87597173133</v>
      </c>
    </row>
    <row r="82" spans="1:12" s="176" customFormat="1">
      <c r="A82" s="173">
        <f t="shared" si="9"/>
        <v>44865</v>
      </c>
      <c r="B82" s="173">
        <f t="shared" si="10"/>
        <v>44895</v>
      </c>
      <c r="C82" s="173"/>
      <c r="D82" s="174">
        <f t="shared" si="11"/>
        <v>138961.17819209039</v>
      </c>
      <c r="E82" s="174">
        <f t="shared" si="12"/>
        <v>15563651.957514133</v>
      </c>
      <c r="F82" s="175">
        <f t="shared" si="8"/>
        <v>90324.920226167902</v>
      </c>
      <c r="G82" s="175"/>
      <c r="H82" s="174">
        <f t="shared" si="13"/>
        <v>229286.09841825831</v>
      </c>
      <c r="J82" s="177">
        <f t="shared" si="14"/>
        <v>50952.466315168509</v>
      </c>
    </row>
    <row r="83" spans="1:12" s="176" customFormat="1">
      <c r="A83" s="173">
        <f t="shared" si="9"/>
        <v>44895</v>
      </c>
      <c r="B83" s="173">
        <f t="shared" si="10"/>
        <v>44926</v>
      </c>
      <c r="C83" s="173"/>
      <c r="D83" s="174">
        <f t="shared" si="11"/>
        <v>138961.17819209039</v>
      </c>
      <c r="E83" s="174">
        <f t="shared" si="12"/>
        <v>15424690.779322043</v>
      </c>
      <c r="F83" s="175">
        <f t="shared" si="8"/>
        <v>86637.662563495338</v>
      </c>
      <c r="G83" s="175"/>
      <c r="H83" s="174">
        <f t="shared" si="13"/>
        <v>225598.84075558573</v>
      </c>
      <c r="J83" s="177">
        <f t="shared" si="14"/>
        <v>50133.075723463495</v>
      </c>
    </row>
    <row r="84" spans="1:12" s="171" customFormat="1">
      <c r="A84" s="168">
        <f t="shared" si="9"/>
        <v>44926</v>
      </c>
      <c r="B84" s="168">
        <f t="shared" si="10"/>
        <v>44957</v>
      </c>
      <c r="C84" s="168"/>
      <c r="D84" s="169">
        <f t="shared" si="11"/>
        <v>138961.17819209039</v>
      </c>
      <c r="E84" s="169">
        <f t="shared" si="12"/>
        <v>15285729.601129953</v>
      </c>
      <c r="F84" s="170">
        <f t="shared" si="8"/>
        <v>88726.249071722472</v>
      </c>
      <c r="G84" s="170"/>
      <c r="H84" s="169">
        <f t="shared" si="13"/>
        <v>227687.42726381286</v>
      </c>
      <c r="J84" s="172">
        <f t="shared" si="14"/>
        <v>50597.206058625081</v>
      </c>
    </row>
    <row r="85" spans="1:12" s="176" customFormat="1">
      <c r="A85" s="173">
        <f t="shared" si="9"/>
        <v>44957</v>
      </c>
      <c r="B85" s="173">
        <f t="shared" si="10"/>
        <v>44985</v>
      </c>
      <c r="C85" s="173"/>
      <c r="D85" s="174">
        <f t="shared" si="11"/>
        <v>138961.17819209039</v>
      </c>
      <c r="E85" s="174">
        <f t="shared" si="12"/>
        <v>15146768.422937863</v>
      </c>
      <c r="F85" s="175">
        <f t="shared" si="8"/>
        <v>87926.913494499735</v>
      </c>
      <c r="G85" s="175"/>
      <c r="H85" s="174">
        <f t="shared" si="13"/>
        <v>226888.09168659011</v>
      </c>
      <c r="J85" s="177">
        <f t="shared" si="14"/>
        <v>50419.575930353356</v>
      </c>
      <c r="K85" s="177">
        <f>SUM(D73:D84)</f>
        <v>1667534.138305085</v>
      </c>
      <c r="L85" s="177">
        <f>SUM(F73:F84)</f>
        <v>1096198.4965957969</v>
      </c>
    </row>
    <row r="86" spans="1:12" s="176" customFormat="1">
      <c r="A86" s="173">
        <f t="shared" si="9"/>
        <v>44985</v>
      </c>
      <c r="B86" s="173">
        <f t="shared" si="10"/>
        <v>45016</v>
      </c>
      <c r="C86" s="173"/>
      <c r="D86" s="174">
        <f t="shared" si="11"/>
        <v>138961.17819209039</v>
      </c>
      <c r="E86" s="174">
        <f t="shared" si="12"/>
        <v>15007807.244745772</v>
      </c>
      <c r="F86" s="175">
        <f t="shared" si="8"/>
        <v>78695.876828508262</v>
      </c>
      <c r="G86" s="175"/>
      <c r="H86" s="174">
        <f t="shared" si="13"/>
        <v>217657.05502059864</v>
      </c>
      <c r="J86" s="177">
        <f t="shared" si="14"/>
        <v>48368.234449021918</v>
      </c>
    </row>
    <row r="87" spans="1:12" s="176" customFormat="1">
      <c r="A87" s="173">
        <f t="shared" si="9"/>
        <v>45016</v>
      </c>
      <c r="B87" s="173">
        <f t="shared" si="10"/>
        <v>45046</v>
      </c>
      <c r="C87" s="173"/>
      <c r="D87" s="174">
        <f t="shared" si="11"/>
        <v>138961.17819209039</v>
      </c>
      <c r="E87" s="174">
        <f t="shared" si="12"/>
        <v>14868846.066553682</v>
      </c>
      <c r="F87" s="175">
        <f t="shared" si="8"/>
        <v>86328.24234005429</v>
      </c>
      <c r="G87" s="175"/>
      <c r="H87" s="174">
        <f t="shared" si="13"/>
        <v>225289.42053214466</v>
      </c>
      <c r="J87" s="177">
        <f t="shared" si="14"/>
        <v>50064.315673809928</v>
      </c>
    </row>
    <row r="88" spans="1:12" s="176" customFormat="1">
      <c r="A88" s="173">
        <f t="shared" si="9"/>
        <v>45046</v>
      </c>
      <c r="B88" s="173">
        <f t="shared" si="10"/>
        <v>45077</v>
      </c>
      <c r="C88" s="173"/>
      <c r="D88" s="174">
        <f t="shared" si="11"/>
        <v>138961.17819209039</v>
      </c>
      <c r="E88" s="174">
        <f t="shared" si="12"/>
        <v>14729884.888361592</v>
      </c>
      <c r="F88" s="175">
        <f t="shared" si="8"/>
        <v>82769.909770482162</v>
      </c>
      <c r="G88" s="175"/>
      <c r="H88" s="174">
        <f t="shared" si="13"/>
        <v>221731.08796257255</v>
      </c>
      <c r="J88" s="177">
        <f t="shared" si="14"/>
        <v>49273.575102793897</v>
      </c>
    </row>
    <row r="89" spans="1:12" s="176" customFormat="1">
      <c r="A89" s="173">
        <f t="shared" si="9"/>
        <v>45077</v>
      </c>
      <c r="B89" s="173">
        <f t="shared" si="10"/>
        <v>45107</v>
      </c>
      <c r="C89" s="173"/>
      <c r="D89" s="174">
        <f t="shared" si="11"/>
        <v>138961.17819209039</v>
      </c>
      <c r="E89" s="174">
        <f t="shared" si="12"/>
        <v>14590923.710169502</v>
      </c>
      <c r="F89" s="175">
        <f t="shared" si="8"/>
        <v>84729.571185608846</v>
      </c>
      <c r="G89" s="175"/>
      <c r="H89" s="174">
        <f t="shared" si="13"/>
        <v>223690.74937769922</v>
      </c>
      <c r="J89" s="177">
        <f t="shared" si="14"/>
        <v>49709.055417266492</v>
      </c>
    </row>
    <row r="90" spans="1:12" s="176" customFormat="1">
      <c r="A90" s="173">
        <f t="shared" si="9"/>
        <v>45107</v>
      </c>
      <c r="B90" s="173">
        <f t="shared" si="10"/>
        <v>45138</v>
      </c>
      <c r="C90" s="173"/>
      <c r="D90" s="174">
        <f t="shared" si="11"/>
        <v>138961.17819209039</v>
      </c>
      <c r="E90" s="174">
        <f t="shared" si="12"/>
        <v>14451962.531977411</v>
      </c>
      <c r="F90" s="175">
        <f t="shared" si="8"/>
        <v>81222.808653276894</v>
      </c>
      <c r="G90" s="175"/>
      <c r="H90" s="174">
        <f t="shared" si="13"/>
        <v>220183.9868453673</v>
      </c>
      <c r="J90" s="177">
        <f t="shared" si="14"/>
        <v>48929.774854526069</v>
      </c>
    </row>
    <row r="91" spans="1:12" s="176" customFormat="1">
      <c r="A91" s="173">
        <f t="shared" si="9"/>
        <v>45138</v>
      </c>
      <c r="B91" s="173">
        <f t="shared" si="10"/>
        <v>45169</v>
      </c>
      <c r="C91" s="173"/>
      <c r="D91" s="174">
        <f t="shared" si="11"/>
        <v>138961.17819209039</v>
      </c>
      <c r="E91" s="174">
        <f t="shared" si="12"/>
        <v>14313001.353785321</v>
      </c>
      <c r="F91" s="175">
        <f t="shared" si="8"/>
        <v>83130.900031163401</v>
      </c>
      <c r="G91" s="175"/>
      <c r="H91" s="174">
        <f t="shared" si="13"/>
        <v>222092.07822325377</v>
      </c>
      <c r="J91" s="177">
        <f t="shared" si="14"/>
        <v>49353.795160723064</v>
      </c>
    </row>
    <row r="92" spans="1:12" s="176" customFormat="1">
      <c r="A92" s="173">
        <f t="shared" si="9"/>
        <v>45169</v>
      </c>
      <c r="B92" s="173">
        <f t="shared" si="10"/>
        <v>45199</v>
      </c>
      <c r="C92" s="173"/>
      <c r="D92" s="174">
        <f t="shared" si="11"/>
        <v>138961.17819209039</v>
      </c>
      <c r="E92" s="174">
        <f t="shared" si="12"/>
        <v>14174040.175593231</v>
      </c>
      <c r="F92" s="175">
        <f t="shared" si="8"/>
        <v>82331.564453940679</v>
      </c>
      <c r="G92" s="175"/>
      <c r="H92" s="174">
        <f t="shared" si="13"/>
        <v>221292.74264603108</v>
      </c>
      <c r="J92" s="177">
        <f t="shared" si="14"/>
        <v>49176.165032451354</v>
      </c>
    </row>
    <row r="93" spans="1:12" s="176" customFormat="1">
      <c r="A93" s="173">
        <f t="shared" si="9"/>
        <v>45199</v>
      </c>
      <c r="B93" s="173">
        <f t="shared" si="10"/>
        <v>45230</v>
      </c>
      <c r="C93" s="173"/>
      <c r="D93" s="174">
        <f t="shared" si="11"/>
        <v>138961.17819209039</v>
      </c>
      <c r="E93" s="174">
        <f t="shared" si="12"/>
        <v>14035078.997401141</v>
      </c>
      <c r="F93" s="175">
        <f t="shared" si="8"/>
        <v>78902.156977468985</v>
      </c>
      <c r="G93" s="175"/>
      <c r="H93" s="174">
        <f t="shared" si="13"/>
        <v>217863.33516955937</v>
      </c>
      <c r="J93" s="177">
        <f t="shared" si="14"/>
        <v>48414.074482124306</v>
      </c>
    </row>
    <row r="94" spans="1:12" s="176" customFormat="1">
      <c r="A94" s="173">
        <f t="shared" si="9"/>
        <v>45230</v>
      </c>
      <c r="B94" s="173">
        <f t="shared" si="10"/>
        <v>45260</v>
      </c>
      <c r="C94" s="173"/>
      <c r="D94" s="174">
        <f t="shared" si="11"/>
        <v>138961.17819209039</v>
      </c>
      <c r="E94" s="174">
        <f t="shared" si="12"/>
        <v>13896117.81920905</v>
      </c>
      <c r="F94" s="175">
        <f t="shared" si="8"/>
        <v>80732.893299495234</v>
      </c>
      <c r="G94" s="175"/>
      <c r="H94" s="174">
        <f t="shared" si="13"/>
        <v>219694.07149158564</v>
      </c>
      <c r="J94" s="177">
        <f t="shared" si="14"/>
        <v>48820.904775907919</v>
      </c>
    </row>
    <row r="95" spans="1:12" s="176" customFormat="1">
      <c r="A95" s="173">
        <f t="shared" si="9"/>
        <v>45260</v>
      </c>
      <c r="B95" s="173">
        <f t="shared" si="10"/>
        <v>45291</v>
      </c>
      <c r="C95" s="173"/>
      <c r="D95" s="174">
        <f t="shared" si="11"/>
        <v>138961.17819209039</v>
      </c>
      <c r="E95" s="174">
        <f t="shared" si="12"/>
        <v>13757156.64101696</v>
      </c>
      <c r="F95" s="175">
        <f t="shared" si="8"/>
        <v>77355.055860263717</v>
      </c>
      <c r="G95" s="175"/>
      <c r="H95" s="174">
        <f t="shared" si="13"/>
        <v>216316.23405235412</v>
      </c>
      <c r="J95" s="177">
        <f t="shared" si="14"/>
        <v>48070.274233856471</v>
      </c>
    </row>
    <row r="96" spans="1:12" s="171" customFormat="1">
      <c r="A96" s="168">
        <f t="shared" si="9"/>
        <v>45291</v>
      </c>
      <c r="B96" s="168">
        <f t="shared" si="10"/>
        <v>45322</v>
      </c>
      <c r="C96" s="168"/>
      <c r="D96" s="169">
        <f t="shared" si="11"/>
        <v>138961.17819209039</v>
      </c>
      <c r="E96" s="169">
        <f t="shared" si="12"/>
        <v>13618195.46282487</v>
      </c>
      <c r="F96" s="170">
        <f t="shared" si="8"/>
        <v>79134.222145049775</v>
      </c>
      <c r="G96" s="170"/>
      <c r="H96" s="169">
        <f t="shared" si="13"/>
        <v>218095.40033714016</v>
      </c>
      <c r="J96" s="172">
        <f t="shared" si="14"/>
        <v>48465.644519364483</v>
      </c>
    </row>
    <row r="97" spans="1:12" s="176" customFormat="1">
      <c r="A97" s="173">
        <f t="shared" si="9"/>
        <v>45322</v>
      </c>
      <c r="B97" s="173">
        <f t="shared" si="10"/>
        <v>45351</v>
      </c>
      <c r="C97" s="173"/>
      <c r="D97" s="174">
        <f t="shared" si="11"/>
        <v>138961.17819209039</v>
      </c>
      <c r="E97" s="174">
        <f t="shared" si="12"/>
        <v>13479234.28463278</v>
      </c>
      <c r="F97" s="175">
        <f t="shared" si="8"/>
        <v>78334.886567827052</v>
      </c>
      <c r="G97" s="175"/>
      <c r="H97" s="174">
        <f t="shared" si="13"/>
        <v>217296.06475991744</v>
      </c>
      <c r="J97" s="177">
        <f t="shared" si="14"/>
        <v>48288.014391092765</v>
      </c>
      <c r="K97" s="177">
        <f>SUM(D85:D96)</f>
        <v>1667534.138305085</v>
      </c>
      <c r="L97" s="177">
        <f>SUM(F85:F96)</f>
        <v>983260.11503981194</v>
      </c>
    </row>
    <row r="98" spans="1:12" s="176" customFormat="1">
      <c r="A98" s="173">
        <f t="shared" si="9"/>
        <v>45351</v>
      </c>
      <c r="B98" s="173">
        <f t="shared" si="10"/>
        <v>45382</v>
      </c>
      <c r="C98" s="173"/>
      <c r="D98" s="174">
        <f t="shared" si="11"/>
        <v>138961.17819209039</v>
      </c>
      <c r="E98" s="174">
        <f t="shared" si="12"/>
        <v>13340273.106440689</v>
      </c>
      <c r="F98" s="175">
        <f t="shared" si="8"/>
        <v>72533.257378307273</v>
      </c>
      <c r="G98" s="175"/>
      <c r="H98" s="174">
        <f t="shared" si="13"/>
        <v>211494.43557039765</v>
      </c>
      <c r="J98" s="177">
        <f t="shared" si="14"/>
        <v>46998.763460088368</v>
      </c>
    </row>
    <row r="99" spans="1:12" s="176" customFormat="1">
      <c r="A99" s="173">
        <f t="shared" si="9"/>
        <v>45382</v>
      </c>
      <c r="B99" s="173">
        <f t="shared" si="10"/>
        <v>45412</v>
      </c>
      <c r="C99" s="173"/>
      <c r="D99" s="174">
        <f t="shared" si="11"/>
        <v>138961.17819209039</v>
      </c>
      <c r="E99" s="174">
        <f t="shared" si="12"/>
        <v>13201311.928248599</v>
      </c>
      <c r="F99" s="175">
        <f t="shared" si="8"/>
        <v>76736.215413381608</v>
      </c>
      <c r="G99" s="175"/>
      <c r="H99" s="174">
        <f t="shared" si="13"/>
        <v>215697.393605472</v>
      </c>
      <c r="J99" s="177">
        <f t="shared" si="14"/>
        <v>47932.75413454933</v>
      </c>
    </row>
    <row r="100" spans="1:12" s="176" customFormat="1">
      <c r="A100" s="173">
        <f t="shared" si="9"/>
        <v>45412</v>
      </c>
      <c r="B100" s="173">
        <f t="shared" si="10"/>
        <v>45443</v>
      </c>
      <c r="C100" s="173"/>
      <c r="D100" s="174">
        <f t="shared" si="11"/>
        <v>138961.17819209039</v>
      </c>
      <c r="E100" s="174">
        <f t="shared" si="12"/>
        <v>13062350.750056509</v>
      </c>
      <c r="F100" s="175">
        <f t="shared" si="8"/>
        <v>73487.303067250541</v>
      </c>
      <c r="G100" s="175"/>
      <c r="H100" s="174">
        <f t="shared" si="13"/>
        <v>212448.48125934094</v>
      </c>
      <c r="J100" s="177">
        <f t="shared" si="14"/>
        <v>47210.773613186873</v>
      </c>
    </row>
    <row r="101" spans="1:12" s="176" customFormat="1">
      <c r="A101" s="173">
        <f t="shared" si="9"/>
        <v>45443</v>
      </c>
      <c r="B101" s="173">
        <f t="shared" si="10"/>
        <v>45473</v>
      </c>
      <c r="C101" s="173"/>
      <c r="D101" s="174">
        <f t="shared" si="11"/>
        <v>138961.17819209039</v>
      </c>
      <c r="E101" s="174">
        <f t="shared" si="12"/>
        <v>12923389.571864419</v>
      </c>
      <c r="F101" s="175">
        <f t="shared" si="8"/>
        <v>75137.544258936163</v>
      </c>
      <c r="G101" s="175"/>
      <c r="H101" s="174">
        <f t="shared" si="13"/>
        <v>214098.72245102655</v>
      </c>
      <c r="J101" s="177">
        <f t="shared" si="14"/>
        <v>47577.493878005902</v>
      </c>
    </row>
    <row r="102" spans="1:12" s="176" customFormat="1">
      <c r="A102" s="173">
        <f t="shared" si="9"/>
        <v>45473</v>
      </c>
      <c r="B102" s="173">
        <f t="shared" si="10"/>
        <v>45504</v>
      </c>
      <c r="C102" s="173"/>
      <c r="D102" s="174">
        <f t="shared" si="11"/>
        <v>138961.17819209039</v>
      </c>
      <c r="E102" s="174">
        <f t="shared" si="12"/>
        <v>12784428.393672328</v>
      </c>
      <c r="F102" s="175">
        <f t="shared" si="8"/>
        <v>71940.201950045259</v>
      </c>
      <c r="G102" s="175"/>
      <c r="H102" s="174">
        <f t="shared" si="13"/>
        <v>210901.38014213566</v>
      </c>
      <c r="J102" s="177">
        <f t="shared" si="14"/>
        <v>46866.973364919038</v>
      </c>
    </row>
    <row r="103" spans="1:12" s="176" customFormat="1">
      <c r="A103" s="173">
        <f t="shared" si="9"/>
        <v>45504</v>
      </c>
      <c r="B103" s="173">
        <f t="shared" si="10"/>
        <v>45535</v>
      </c>
      <c r="C103" s="173"/>
      <c r="D103" s="174">
        <f t="shared" si="11"/>
        <v>138961.17819209039</v>
      </c>
      <c r="E103" s="174">
        <f t="shared" si="12"/>
        <v>12645467.215480238</v>
      </c>
      <c r="F103" s="175">
        <f t="shared" si="8"/>
        <v>73538.873104490718</v>
      </c>
      <c r="G103" s="175"/>
      <c r="H103" s="174">
        <f t="shared" si="13"/>
        <v>212500.05129658111</v>
      </c>
      <c r="J103" s="177">
        <f t="shared" si="14"/>
        <v>47222.233621462467</v>
      </c>
    </row>
    <row r="104" spans="1:12" s="176" customFormat="1">
      <c r="A104" s="173">
        <f t="shared" si="9"/>
        <v>45535</v>
      </c>
      <c r="B104" s="173">
        <f t="shared" si="10"/>
        <v>45565</v>
      </c>
      <c r="C104" s="173"/>
      <c r="D104" s="174">
        <f t="shared" si="11"/>
        <v>138961.17819209039</v>
      </c>
      <c r="E104" s="174">
        <f t="shared" si="12"/>
        <v>12506506.037288148</v>
      </c>
      <c r="F104" s="175">
        <f t="shared" si="8"/>
        <v>72739.537527267996</v>
      </c>
      <c r="G104" s="175"/>
      <c r="H104" s="174">
        <f t="shared" si="13"/>
        <v>211700.71571935838</v>
      </c>
      <c r="J104" s="177">
        <f t="shared" si="14"/>
        <v>47044.603493190749</v>
      </c>
    </row>
    <row r="105" spans="1:12" s="176" customFormat="1">
      <c r="A105" s="173">
        <f t="shared" si="9"/>
        <v>45565</v>
      </c>
      <c r="B105" s="173">
        <f t="shared" si="10"/>
        <v>45596</v>
      </c>
      <c r="C105" s="173"/>
      <c r="D105" s="174">
        <f t="shared" si="11"/>
        <v>138961.17819209039</v>
      </c>
      <c r="E105" s="174">
        <f t="shared" si="12"/>
        <v>12367544.859096058</v>
      </c>
      <c r="F105" s="175">
        <f t="shared" si="8"/>
        <v>69619.55027423735</v>
      </c>
      <c r="G105" s="175"/>
      <c r="H105" s="174">
        <f t="shared" si="13"/>
        <v>208580.72846632774</v>
      </c>
      <c r="J105" s="177">
        <f t="shared" si="14"/>
        <v>46351.272992517275</v>
      </c>
    </row>
    <row r="106" spans="1:12" s="176" customFormat="1">
      <c r="A106" s="173">
        <f t="shared" si="9"/>
        <v>45596</v>
      </c>
      <c r="B106" s="173">
        <f t="shared" si="10"/>
        <v>45626</v>
      </c>
      <c r="C106" s="173"/>
      <c r="D106" s="174">
        <f t="shared" si="11"/>
        <v>138961.17819209039</v>
      </c>
      <c r="E106" s="174">
        <f t="shared" si="12"/>
        <v>12228583.680903967</v>
      </c>
      <c r="F106" s="175">
        <f t="shared" si="8"/>
        <v>71140.866372822551</v>
      </c>
      <c r="G106" s="175"/>
      <c r="H106" s="174">
        <f t="shared" si="13"/>
        <v>210102.04456491294</v>
      </c>
      <c r="J106" s="177">
        <f t="shared" si="14"/>
        <v>46689.343236647321</v>
      </c>
    </row>
    <row r="107" spans="1:12" s="176" customFormat="1">
      <c r="A107" s="173">
        <f t="shared" si="9"/>
        <v>45626</v>
      </c>
      <c r="B107" s="173">
        <f t="shared" si="10"/>
        <v>45657</v>
      </c>
      <c r="C107" s="173"/>
      <c r="D107" s="174">
        <f t="shared" si="11"/>
        <v>138961.17819209039</v>
      </c>
      <c r="E107" s="174">
        <f t="shared" si="12"/>
        <v>12089622.502711877</v>
      </c>
      <c r="F107" s="175">
        <f t="shared" si="8"/>
        <v>68072.449157032082</v>
      </c>
      <c r="G107" s="175"/>
      <c r="H107" s="174">
        <f t="shared" si="13"/>
        <v>207033.62734912249</v>
      </c>
      <c r="J107" s="177">
        <f t="shared" si="14"/>
        <v>46007.47274424944</v>
      </c>
    </row>
    <row r="108" spans="1:12" s="171" customFormat="1">
      <c r="A108" s="168">
        <f t="shared" si="9"/>
        <v>45657</v>
      </c>
      <c r="B108" s="168">
        <f t="shared" si="10"/>
        <v>45688</v>
      </c>
      <c r="C108" s="168"/>
      <c r="D108" s="169">
        <f t="shared" si="11"/>
        <v>138961.17819209039</v>
      </c>
      <c r="E108" s="169">
        <f t="shared" si="12"/>
        <v>11950661.324519787</v>
      </c>
      <c r="F108" s="170">
        <f t="shared" si="8"/>
        <v>69542.195218377092</v>
      </c>
      <c r="G108" s="170"/>
      <c r="H108" s="169">
        <f t="shared" si="13"/>
        <v>208503.37341046747</v>
      </c>
      <c r="J108" s="172">
        <f t="shared" si="14"/>
        <v>46334.082980103878</v>
      </c>
    </row>
    <row r="109" spans="1:12" s="176" customFormat="1">
      <c r="A109" s="173">
        <f t="shared" si="9"/>
        <v>45688</v>
      </c>
      <c r="B109" s="173">
        <f t="shared" si="10"/>
        <v>45716</v>
      </c>
      <c r="C109" s="173"/>
      <c r="D109" s="174">
        <f t="shared" si="11"/>
        <v>138961.17819209039</v>
      </c>
      <c r="E109" s="174">
        <f t="shared" si="12"/>
        <v>11811700.146327697</v>
      </c>
      <c r="F109" s="175">
        <f t="shared" si="8"/>
        <v>68742.859641154369</v>
      </c>
      <c r="G109" s="175"/>
      <c r="H109" s="174">
        <f t="shared" si="13"/>
        <v>207704.03783324477</v>
      </c>
      <c r="J109" s="177">
        <f t="shared" si="14"/>
        <v>46156.452851832175</v>
      </c>
      <c r="K109" s="177">
        <f>SUM(D97:D108)</f>
        <v>1667534.138305085</v>
      </c>
      <c r="L109" s="177">
        <f>SUM(F97:F108)</f>
        <v>872822.88028997567</v>
      </c>
    </row>
    <row r="110" spans="1:12" s="176" customFormat="1">
      <c r="A110" s="173">
        <f t="shared" si="9"/>
        <v>45716</v>
      </c>
      <c r="B110" s="173">
        <f t="shared" si="10"/>
        <v>45747</v>
      </c>
      <c r="C110" s="173"/>
      <c r="D110" s="174">
        <f t="shared" si="11"/>
        <v>138961.17819209039</v>
      </c>
      <c r="E110" s="174">
        <f t="shared" si="12"/>
        <v>11672738.968135606</v>
      </c>
      <c r="F110" s="175">
        <f t="shared" si="8"/>
        <v>61368.344315809227</v>
      </c>
      <c r="G110" s="175"/>
      <c r="H110" s="174">
        <f t="shared" si="13"/>
        <v>200329.52250789962</v>
      </c>
      <c r="J110" s="177">
        <f t="shared" si="14"/>
        <v>44517.671668422139</v>
      </c>
    </row>
    <row r="111" spans="1:12" s="176" customFormat="1">
      <c r="A111" s="173">
        <f t="shared" si="9"/>
        <v>45747</v>
      </c>
      <c r="B111" s="173">
        <f t="shared" si="10"/>
        <v>45777</v>
      </c>
      <c r="C111" s="173"/>
      <c r="D111" s="174">
        <f t="shared" si="11"/>
        <v>138961.17819209039</v>
      </c>
      <c r="E111" s="174">
        <f t="shared" si="12"/>
        <v>11533777.789943516</v>
      </c>
      <c r="F111" s="175">
        <f t="shared" si="8"/>
        <v>67144.188486708925</v>
      </c>
      <c r="G111" s="175"/>
      <c r="H111" s="174">
        <f t="shared" si="13"/>
        <v>206105.36667879933</v>
      </c>
      <c r="J111" s="177">
        <f t="shared" si="14"/>
        <v>45801.19259528874</v>
      </c>
    </row>
    <row r="112" spans="1:12" s="176" customFormat="1">
      <c r="A112" s="173">
        <f t="shared" si="9"/>
        <v>45777</v>
      </c>
      <c r="B112" s="173">
        <f t="shared" si="10"/>
        <v>45808</v>
      </c>
      <c r="C112" s="173"/>
      <c r="D112" s="174">
        <f t="shared" si="11"/>
        <v>138961.17819209039</v>
      </c>
      <c r="E112" s="174">
        <f t="shared" si="12"/>
        <v>11394816.611751426</v>
      </c>
      <c r="F112" s="175">
        <f t="shared" si="8"/>
        <v>64204.696364018899</v>
      </c>
      <c r="G112" s="175"/>
      <c r="H112" s="174">
        <f t="shared" si="13"/>
        <v>203165.87455610928</v>
      </c>
      <c r="J112" s="177">
        <f t="shared" si="14"/>
        <v>45147.972123579842</v>
      </c>
    </row>
    <row r="113" spans="1:12" s="176" customFormat="1">
      <c r="A113" s="173">
        <f t="shared" si="9"/>
        <v>45808</v>
      </c>
      <c r="B113" s="173">
        <f t="shared" si="10"/>
        <v>45838</v>
      </c>
      <c r="C113" s="173"/>
      <c r="D113" s="174">
        <f t="shared" si="11"/>
        <v>138961.17819209039</v>
      </c>
      <c r="E113" s="174">
        <f t="shared" si="12"/>
        <v>11255855.433559336</v>
      </c>
      <c r="F113" s="175">
        <f t="shared" si="8"/>
        <v>65545.51733226348</v>
      </c>
      <c r="G113" s="175"/>
      <c r="H113" s="174">
        <f t="shared" si="13"/>
        <v>204506.69552435388</v>
      </c>
      <c r="J113" s="177">
        <f t="shared" si="14"/>
        <v>45445.932338745304</v>
      </c>
    </row>
    <row r="114" spans="1:12" s="176" customFormat="1">
      <c r="A114" s="173">
        <f t="shared" si="9"/>
        <v>45838</v>
      </c>
      <c r="B114" s="173">
        <f t="shared" si="10"/>
        <v>45869</v>
      </c>
      <c r="C114" s="173"/>
      <c r="D114" s="174">
        <f t="shared" si="11"/>
        <v>138961.17819209039</v>
      </c>
      <c r="E114" s="174">
        <f t="shared" si="12"/>
        <v>11116894.255367246</v>
      </c>
      <c r="F114" s="175">
        <f t="shared" si="8"/>
        <v>62657.595246813631</v>
      </c>
      <c r="G114" s="175"/>
      <c r="H114" s="174">
        <f t="shared" si="13"/>
        <v>201618.77343890403</v>
      </c>
      <c r="J114" s="177">
        <f t="shared" si="14"/>
        <v>44804.171875312008</v>
      </c>
    </row>
    <row r="115" spans="1:12" s="176" customFormat="1">
      <c r="A115" s="173">
        <f t="shared" si="9"/>
        <v>45869</v>
      </c>
      <c r="B115" s="173">
        <f t="shared" si="10"/>
        <v>45900</v>
      </c>
      <c r="C115" s="173"/>
      <c r="D115" s="174">
        <f t="shared" si="11"/>
        <v>138961.17819209039</v>
      </c>
      <c r="E115" s="174">
        <f t="shared" si="12"/>
        <v>10977933.077175155</v>
      </c>
      <c r="F115" s="175">
        <f t="shared" si="8"/>
        <v>63946.846177818035</v>
      </c>
      <c r="G115" s="175"/>
      <c r="H115" s="174">
        <f t="shared" si="13"/>
        <v>202908.02436990844</v>
      </c>
      <c r="J115" s="177">
        <f t="shared" si="14"/>
        <v>45090.672082201876</v>
      </c>
    </row>
    <row r="116" spans="1:12" s="176" customFormat="1">
      <c r="A116" s="173">
        <f t="shared" si="9"/>
        <v>45900</v>
      </c>
      <c r="B116" s="173">
        <f t="shared" si="10"/>
        <v>45930</v>
      </c>
      <c r="C116" s="173"/>
      <c r="D116" s="174">
        <f t="shared" si="11"/>
        <v>138961.17819209039</v>
      </c>
      <c r="E116" s="174">
        <f t="shared" si="12"/>
        <v>10838971.898983065</v>
      </c>
      <c r="F116" s="175">
        <f t="shared" si="8"/>
        <v>63147.510600595313</v>
      </c>
      <c r="G116" s="175"/>
      <c r="H116" s="174">
        <f t="shared" si="13"/>
        <v>202108.68879268569</v>
      </c>
      <c r="J116" s="177">
        <f t="shared" si="14"/>
        <v>44913.041953930151</v>
      </c>
    </row>
    <row r="117" spans="1:12" s="176" customFormat="1">
      <c r="A117" s="173">
        <f t="shared" si="9"/>
        <v>45930</v>
      </c>
      <c r="B117" s="173">
        <f t="shared" si="10"/>
        <v>45961</v>
      </c>
      <c r="C117" s="173"/>
      <c r="D117" s="174">
        <f t="shared" si="11"/>
        <v>138961.17819209039</v>
      </c>
      <c r="E117" s="174">
        <f t="shared" si="12"/>
        <v>10700010.720790975</v>
      </c>
      <c r="F117" s="175">
        <f t="shared" si="8"/>
        <v>60336.94357100573</v>
      </c>
      <c r="G117" s="175"/>
      <c r="H117" s="174">
        <f t="shared" si="13"/>
        <v>199298.12176309613</v>
      </c>
      <c r="J117" s="177">
        <f t="shared" si="14"/>
        <v>44288.471502910252</v>
      </c>
    </row>
    <row r="118" spans="1:12" s="176" customFormat="1">
      <c r="A118" s="173">
        <f t="shared" si="9"/>
        <v>45961</v>
      </c>
      <c r="B118" s="173">
        <f t="shared" si="10"/>
        <v>45991</v>
      </c>
      <c r="C118" s="173"/>
      <c r="D118" s="174">
        <f t="shared" si="11"/>
        <v>138961.17819209039</v>
      </c>
      <c r="E118" s="174">
        <f t="shared" si="12"/>
        <v>10561049.542598885</v>
      </c>
      <c r="F118" s="175">
        <f t="shared" si="8"/>
        <v>61548.839446149861</v>
      </c>
      <c r="G118" s="175"/>
      <c r="H118" s="174">
        <f t="shared" si="13"/>
        <v>200510.01763824024</v>
      </c>
      <c r="J118" s="177">
        <f t="shared" si="14"/>
        <v>44557.781697386723</v>
      </c>
    </row>
    <row r="119" spans="1:12" s="176" customFormat="1">
      <c r="A119" s="173">
        <f t="shared" si="9"/>
        <v>45991</v>
      </c>
      <c r="B119" s="173">
        <f t="shared" si="10"/>
        <v>46022</v>
      </c>
      <c r="C119" s="173"/>
      <c r="D119" s="174">
        <f t="shared" si="11"/>
        <v>138961.17819209039</v>
      </c>
      <c r="E119" s="174">
        <f t="shared" si="12"/>
        <v>10422088.364406794</v>
      </c>
      <c r="F119" s="175">
        <f t="shared" si="8"/>
        <v>58789.842453800462</v>
      </c>
      <c r="G119" s="175"/>
      <c r="H119" s="174">
        <f t="shared" si="13"/>
        <v>197751.02064589085</v>
      </c>
      <c r="J119" s="177">
        <f t="shared" si="14"/>
        <v>43944.67125464241</v>
      </c>
    </row>
    <row r="120" spans="1:12" s="171" customFormat="1">
      <c r="A120" s="168">
        <f t="shared" si="9"/>
        <v>46022</v>
      </c>
      <c r="B120" s="168">
        <f t="shared" si="10"/>
        <v>46053</v>
      </c>
      <c r="C120" s="168"/>
      <c r="D120" s="169">
        <f t="shared" si="11"/>
        <v>138961.17819209039</v>
      </c>
      <c r="E120" s="169">
        <f t="shared" si="12"/>
        <v>10283127.186214704</v>
      </c>
      <c r="F120" s="170">
        <f t="shared" si="8"/>
        <v>59950.168291704409</v>
      </c>
      <c r="G120" s="170"/>
      <c r="H120" s="169">
        <f t="shared" si="13"/>
        <v>198911.3464837948</v>
      </c>
      <c r="J120" s="172">
        <f t="shared" si="14"/>
        <v>44202.521440843288</v>
      </c>
    </row>
    <row r="121" spans="1:12" s="176" customFormat="1">
      <c r="A121" s="173">
        <f t="shared" si="9"/>
        <v>46053</v>
      </c>
      <c r="B121" s="173">
        <f t="shared" si="10"/>
        <v>46081</v>
      </c>
      <c r="C121" s="173"/>
      <c r="D121" s="174">
        <f t="shared" si="11"/>
        <v>138961.17819209039</v>
      </c>
      <c r="E121" s="174">
        <f t="shared" si="12"/>
        <v>10144166.008022614</v>
      </c>
      <c r="F121" s="175">
        <f t="shared" si="8"/>
        <v>59150.832714481694</v>
      </c>
      <c r="G121" s="175"/>
      <c r="H121" s="174">
        <f t="shared" si="13"/>
        <v>198112.01090657208</v>
      </c>
      <c r="J121" s="177">
        <f t="shared" si="14"/>
        <v>44024.89131257157</v>
      </c>
      <c r="K121" s="177">
        <f>SUM(D109:D120)</f>
        <v>1667534.138305085</v>
      </c>
      <c r="L121" s="177">
        <f>SUM(F109:F120)</f>
        <v>757383.35192784236</v>
      </c>
    </row>
    <row r="122" spans="1:12" s="176" customFormat="1">
      <c r="A122" s="173">
        <f t="shared" si="9"/>
        <v>46081</v>
      </c>
      <c r="B122" s="173">
        <f t="shared" si="10"/>
        <v>46112</v>
      </c>
      <c r="C122" s="173"/>
      <c r="D122" s="174">
        <f t="shared" si="11"/>
        <v>138961.17819209039</v>
      </c>
      <c r="E122" s="174">
        <f t="shared" si="12"/>
        <v>10005204.829830524</v>
      </c>
      <c r="F122" s="175">
        <f t="shared" si="8"/>
        <v>52704.578059459716</v>
      </c>
      <c r="G122" s="175"/>
      <c r="H122" s="174">
        <f t="shared" si="13"/>
        <v>191665.7562515501</v>
      </c>
      <c r="J122" s="177">
        <f t="shared" si="14"/>
        <v>42592.390278122242</v>
      </c>
    </row>
    <row r="123" spans="1:12" s="176" customFormat="1">
      <c r="A123" s="173">
        <f t="shared" si="9"/>
        <v>46112</v>
      </c>
      <c r="B123" s="173">
        <f t="shared" si="10"/>
        <v>46142</v>
      </c>
      <c r="C123" s="173"/>
      <c r="D123" s="174">
        <f t="shared" si="11"/>
        <v>138961.17819209039</v>
      </c>
      <c r="E123" s="174">
        <f t="shared" si="12"/>
        <v>9866243.6516384333</v>
      </c>
      <c r="F123" s="175">
        <f t="shared" si="8"/>
        <v>57552.161560036242</v>
      </c>
      <c r="G123" s="175"/>
      <c r="H123" s="174">
        <f t="shared" si="13"/>
        <v>196513.33975212663</v>
      </c>
      <c r="J123" s="177">
        <f t="shared" si="14"/>
        <v>43669.631056028142</v>
      </c>
    </row>
    <row r="124" spans="1:12" s="176" customFormat="1">
      <c r="A124" s="173">
        <f t="shared" si="9"/>
        <v>46142</v>
      </c>
      <c r="B124" s="173">
        <f t="shared" si="10"/>
        <v>46173</v>
      </c>
      <c r="C124" s="173"/>
      <c r="D124" s="174">
        <f t="shared" si="11"/>
        <v>138961.17819209039</v>
      </c>
      <c r="E124" s="174">
        <f t="shared" si="12"/>
        <v>9727282.4734463431</v>
      </c>
      <c r="F124" s="175">
        <f t="shared" si="8"/>
        <v>54922.089660787271</v>
      </c>
      <c r="G124" s="175"/>
      <c r="H124" s="174">
        <f t="shared" si="13"/>
        <v>193883.26785287767</v>
      </c>
      <c r="J124" s="177">
        <f t="shared" si="14"/>
        <v>43085.170633972819</v>
      </c>
    </row>
    <row r="125" spans="1:12" s="176" customFormat="1">
      <c r="A125" s="173">
        <f t="shared" si="9"/>
        <v>46173</v>
      </c>
      <c r="B125" s="173">
        <f t="shared" si="10"/>
        <v>46203</v>
      </c>
      <c r="C125" s="173"/>
      <c r="D125" s="174">
        <f t="shared" si="11"/>
        <v>138961.17819209039</v>
      </c>
      <c r="E125" s="174">
        <f t="shared" si="12"/>
        <v>9588321.2952542529</v>
      </c>
      <c r="F125" s="175">
        <f t="shared" si="8"/>
        <v>55953.49040559079</v>
      </c>
      <c r="G125" s="175"/>
      <c r="H125" s="174">
        <f t="shared" si="13"/>
        <v>194914.66859768119</v>
      </c>
      <c r="J125" s="177">
        <f t="shared" si="14"/>
        <v>43314.370799484706</v>
      </c>
    </row>
    <row r="126" spans="1:12" s="176" customFormat="1">
      <c r="A126" s="173">
        <f t="shared" si="9"/>
        <v>46203</v>
      </c>
      <c r="B126" s="173">
        <f t="shared" si="10"/>
        <v>46234</v>
      </c>
      <c r="C126" s="173"/>
      <c r="D126" s="174">
        <f t="shared" si="11"/>
        <v>138961.17819209039</v>
      </c>
      <c r="E126" s="174">
        <f t="shared" si="12"/>
        <v>9449360.1170621626</v>
      </c>
      <c r="F126" s="175">
        <f t="shared" si="8"/>
        <v>53374.988543582003</v>
      </c>
      <c r="G126" s="175"/>
      <c r="H126" s="174">
        <f t="shared" si="13"/>
        <v>192336.16673567239</v>
      </c>
      <c r="J126" s="177">
        <f t="shared" si="14"/>
        <v>42741.370385704977</v>
      </c>
    </row>
    <row r="127" spans="1:12" s="176" customFormat="1">
      <c r="A127" s="173">
        <f t="shared" si="9"/>
        <v>46234</v>
      </c>
      <c r="B127" s="173">
        <f t="shared" si="10"/>
        <v>46265</v>
      </c>
      <c r="C127" s="173"/>
      <c r="D127" s="174">
        <f t="shared" si="11"/>
        <v>138961.17819209039</v>
      </c>
      <c r="E127" s="174">
        <f t="shared" si="12"/>
        <v>9310398.9388700724</v>
      </c>
      <c r="F127" s="175">
        <f t="shared" si="8"/>
        <v>54354.819251145353</v>
      </c>
      <c r="G127" s="175"/>
      <c r="H127" s="174">
        <f t="shared" si="13"/>
        <v>193315.99744323574</v>
      </c>
      <c r="J127" s="177">
        <f t="shared" si="14"/>
        <v>42959.110542941278</v>
      </c>
    </row>
    <row r="128" spans="1:12" s="176" customFormat="1">
      <c r="A128" s="173">
        <f t="shared" si="9"/>
        <v>46265</v>
      </c>
      <c r="B128" s="173">
        <f t="shared" si="10"/>
        <v>46295</v>
      </c>
      <c r="C128" s="173"/>
      <c r="D128" s="174">
        <f t="shared" si="11"/>
        <v>138961.17819209039</v>
      </c>
      <c r="E128" s="174">
        <f t="shared" si="12"/>
        <v>9171437.7606779821</v>
      </c>
      <c r="F128" s="175">
        <f t="shared" si="8"/>
        <v>53555.483673922623</v>
      </c>
      <c r="G128" s="175"/>
      <c r="H128" s="174">
        <f t="shared" si="13"/>
        <v>192516.66186601302</v>
      </c>
      <c r="J128" s="177">
        <f t="shared" si="14"/>
        <v>42781.480414669561</v>
      </c>
    </row>
    <row r="129" spans="1:12" s="176" customFormat="1">
      <c r="A129" s="173">
        <f t="shared" si="9"/>
        <v>46295</v>
      </c>
      <c r="B129" s="173">
        <f t="shared" si="10"/>
        <v>46326</v>
      </c>
      <c r="C129" s="173"/>
      <c r="D129" s="174">
        <f t="shared" si="11"/>
        <v>138961.17819209039</v>
      </c>
      <c r="E129" s="174">
        <f t="shared" si="12"/>
        <v>9032476.5824858919</v>
      </c>
      <c r="F129" s="175">
        <f t="shared" si="8"/>
        <v>51054.336867774095</v>
      </c>
      <c r="G129" s="175"/>
      <c r="H129" s="174">
        <f t="shared" si="13"/>
        <v>190015.5150598645</v>
      </c>
      <c r="J129" s="177">
        <f t="shared" si="14"/>
        <v>42225.670013303221</v>
      </c>
    </row>
    <row r="130" spans="1:12" s="176" customFormat="1">
      <c r="A130" s="173">
        <f t="shared" si="9"/>
        <v>46326</v>
      </c>
      <c r="B130" s="173">
        <f t="shared" si="10"/>
        <v>46356</v>
      </c>
      <c r="C130" s="173"/>
      <c r="D130" s="174">
        <f t="shared" si="11"/>
        <v>138961.17819209039</v>
      </c>
      <c r="E130" s="174">
        <f t="shared" si="12"/>
        <v>8893515.4042938016</v>
      </c>
      <c r="F130" s="175">
        <f t="shared" si="8"/>
        <v>51956.812519477171</v>
      </c>
      <c r="G130" s="175"/>
      <c r="H130" s="174">
        <f t="shared" si="13"/>
        <v>190917.99071156757</v>
      </c>
      <c r="J130" s="177">
        <f t="shared" si="14"/>
        <v>42426.220158126125</v>
      </c>
    </row>
    <row r="131" spans="1:12" s="176" customFormat="1">
      <c r="A131" s="173">
        <f t="shared" si="9"/>
        <v>46356</v>
      </c>
      <c r="B131" s="173">
        <f t="shared" si="10"/>
        <v>46387</v>
      </c>
      <c r="C131" s="173"/>
      <c r="D131" s="174">
        <f t="shared" si="11"/>
        <v>138961.17819209039</v>
      </c>
      <c r="E131" s="174">
        <f t="shared" si="12"/>
        <v>8754554.2261017114</v>
      </c>
      <c r="F131" s="175">
        <f t="shared" si="8"/>
        <v>49507.235750568827</v>
      </c>
      <c r="G131" s="175"/>
      <c r="H131" s="174">
        <f t="shared" si="13"/>
        <v>188468.41394265922</v>
      </c>
      <c r="J131" s="177">
        <f t="shared" si="14"/>
        <v>41881.869765035379</v>
      </c>
    </row>
    <row r="132" spans="1:12" s="171" customFormat="1">
      <c r="A132" s="168">
        <f t="shared" si="9"/>
        <v>46387</v>
      </c>
      <c r="B132" s="168">
        <f t="shared" si="10"/>
        <v>46418</v>
      </c>
      <c r="C132" s="168"/>
      <c r="D132" s="169">
        <f t="shared" si="11"/>
        <v>138961.17819209039</v>
      </c>
      <c r="E132" s="169">
        <f t="shared" si="12"/>
        <v>8615593.0479096211</v>
      </c>
      <c r="F132" s="170">
        <f t="shared" si="8"/>
        <v>50358.141365031734</v>
      </c>
      <c r="G132" s="170"/>
      <c r="H132" s="169">
        <f t="shared" si="13"/>
        <v>189319.31955712213</v>
      </c>
      <c r="J132" s="172">
        <f t="shared" si="14"/>
        <v>42070.959901582697</v>
      </c>
    </row>
    <row r="133" spans="1:12" s="176" customFormat="1">
      <c r="A133" s="173">
        <f t="shared" si="9"/>
        <v>46418</v>
      </c>
      <c r="B133" s="173">
        <f t="shared" si="10"/>
        <v>46446</v>
      </c>
      <c r="C133" s="173"/>
      <c r="D133" s="174">
        <f t="shared" si="11"/>
        <v>138961.17819209039</v>
      </c>
      <c r="E133" s="174">
        <f t="shared" si="12"/>
        <v>8476631.8697175309</v>
      </c>
      <c r="F133" s="175">
        <f t="shared" si="8"/>
        <v>49558.805787809004</v>
      </c>
      <c r="G133" s="175"/>
      <c r="H133" s="174">
        <f t="shared" si="13"/>
        <v>188519.98397989938</v>
      </c>
      <c r="J133" s="177">
        <f t="shared" si="14"/>
        <v>41893.329773310972</v>
      </c>
      <c r="K133" s="177">
        <f>SUM(D121:D132)</f>
        <v>1667534.138305085</v>
      </c>
      <c r="L133" s="177">
        <f>SUM(F121:F132)</f>
        <v>644444.9703718574</v>
      </c>
    </row>
    <row r="134" spans="1:12" s="176" customFormat="1">
      <c r="A134" s="173">
        <f t="shared" si="9"/>
        <v>46446</v>
      </c>
      <c r="B134" s="173">
        <f t="shared" si="10"/>
        <v>46477</v>
      </c>
      <c r="C134" s="173"/>
      <c r="D134" s="174">
        <f t="shared" si="11"/>
        <v>138961.17819209039</v>
      </c>
      <c r="E134" s="174">
        <f t="shared" si="12"/>
        <v>8337670.6915254407</v>
      </c>
      <c r="F134" s="175">
        <f t="shared" si="8"/>
        <v>44040.811803110191</v>
      </c>
      <c r="G134" s="175"/>
      <c r="H134" s="174">
        <f t="shared" si="13"/>
        <v>183001.98999520059</v>
      </c>
      <c r="J134" s="177">
        <f t="shared" si="14"/>
        <v>40667.108887822353</v>
      </c>
    </row>
    <row r="135" spans="1:12" s="176" customFormat="1">
      <c r="A135" s="173">
        <f t="shared" si="9"/>
        <v>46477</v>
      </c>
      <c r="B135" s="173">
        <f t="shared" si="10"/>
        <v>46507</v>
      </c>
      <c r="C135" s="173"/>
      <c r="D135" s="174">
        <f t="shared" si="11"/>
        <v>138961.17819209039</v>
      </c>
      <c r="E135" s="174">
        <f t="shared" si="12"/>
        <v>8198709.5133333504</v>
      </c>
      <c r="F135" s="175">
        <f t="shared" si="8"/>
        <v>47960.134633363567</v>
      </c>
      <c r="G135" s="175"/>
      <c r="H135" s="174">
        <f t="shared" si="13"/>
        <v>186921.31282545396</v>
      </c>
      <c r="J135" s="177">
        <f t="shared" si="14"/>
        <v>41538.069516767544</v>
      </c>
    </row>
    <row r="136" spans="1:12" s="176" customFormat="1">
      <c r="A136" s="173">
        <f t="shared" si="9"/>
        <v>46507</v>
      </c>
      <c r="B136" s="173">
        <f t="shared" si="10"/>
        <v>46538</v>
      </c>
      <c r="C136" s="173"/>
      <c r="D136" s="174">
        <f t="shared" si="11"/>
        <v>138961.17819209039</v>
      </c>
      <c r="E136" s="174">
        <f t="shared" si="12"/>
        <v>8059748.3351412602</v>
      </c>
      <c r="F136" s="175">
        <f t="shared" si="8"/>
        <v>45639.482957555651</v>
      </c>
      <c r="G136" s="175"/>
      <c r="H136" s="174">
        <f t="shared" si="13"/>
        <v>184600.66114964604</v>
      </c>
      <c r="J136" s="177">
        <f t="shared" si="14"/>
        <v>41022.369144365788</v>
      </c>
    </row>
    <row r="137" spans="1:12" s="176" customFormat="1">
      <c r="A137" s="173">
        <f t="shared" si="9"/>
        <v>46538</v>
      </c>
      <c r="B137" s="173">
        <f t="shared" si="10"/>
        <v>46568</v>
      </c>
      <c r="C137" s="173"/>
      <c r="D137" s="174">
        <f t="shared" si="11"/>
        <v>138961.17819209039</v>
      </c>
      <c r="E137" s="174">
        <f t="shared" si="12"/>
        <v>7920787.1569491699</v>
      </c>
      <c r="F137" s="175">
        <f t="shared" si="8"/>
        <v>46361.463478918107</v>
      </c>
      <c r="G137" s="175"/>
      <c r="H137" s="174">
        <f t="shared" si="13"/>
        <v>185322.64167100849</v>
      </c>
      <c r="J137" s="177">
        <f t="shared" si="14"/>
        <v>41182.809260224109</v>
      </c>
    </row>
    <row r="138" spans="1:12" s="176" customFormat="1">
      <c r="A138" s="173">
        <f t="shared" si="9"/>
        <v>46568</v>
      </c>
      <c r="B138" s="173">
        <f t="shared" si="10"/>
        <v>46599</v>
      </c>
      <c r="C138" s="173"/>
      <c r="D138" s="174">
        <f t="shared" si="11"/>
        <v>138961.17819209039</v>
      </c>
      <c r="E138" s="174">
        <f t="shared" si="12"/>
        <v>7781825.9787570797</v>
      </c>
      <c r="F138" s="175">
        <f t="shared" si="8"/>
        <v>44092.381840350383</v>
      </c>
      <c r="G138" s="175"/>
      <c r="H138" s="174">
        <f t="shared" si="13"/>
        <v>183053.56003244076</v>
      </c>
      <c r="J138" s="177">
        <f t="shared" si="14"/>
        <v>40678.568896097946</v>
      </c>
    </row>
    <row r="139" spans="1:12" s="176" customFormat="1">
      <c r="A139" s="173">
        <f t="shared" si="9"/>
        <v>46599</v>
      </c>
      <c r="B139" s="173">
        <f t="shared" si="10"/>
        <v>46630</v>
      </c>
      <c r="C139" s="173"/>
      <c r="D139" s="174">
        <f t="shared" si="11"/>
        <v>138961.17819209039</v>
      </c>
      <c r="E139" s="174">
        <f t="shared" si="12"/>
        <v>7642864.8005649894</v>
      </c>
      <c r="F139" s="175">
        <f t="shared" si="8"/>
        <v>44762.79232447267</v>
      </c>
      <c r="G139" s="175"/>
      <c r="H139" s="174">
        <f t="shared" si="13"/>
        <v>183723.97051656304</v>
      </c>
      <c r="J139" s="177">
        <f t="shared" si="14"/>
        <v>40827.549003680673</v>
      </c>
    </row>
    <row r="140" spans="1:12" s="176" customFormat="1">
      <c r="A140" s="173">
        <f t="shared" si="9"/>
        <v>46630</v>
      </c>
      <c r="B140" s="173">
        <f t="shared" si="10"/>
        <v>46660</v>
      </c>
      <c r="C140" s="173"/>
      <c r="D140" s="174">
        <f t="shared" si="11"/>
        <v>138961.17819209039</v>
      </c>
      <c r="E140" s="174">
        <f t="shared" si="12"/>
        <v>7503903.6223728992</v>
      </c>
      <c r="F140" s="175">
        <f t="shared" si="8"/>
        <v>43963.45674724994</v>
      </c>
      <c r="G140" s="175"/>
      <c r="H140" s="174">
        <f t="shared" si="13"/>
        <v>182924.63493934032</v>
      </c>
      <c r="J140" s="177">
        <f t="shared" si="14"/>
        <v>40649.918875408963</v>
      </c>
    </row>
    <row r="141" spans="1:12" s="176" customFormat="1">
      <c r="A141" s="173">
        <f t="shared" si="9"/>
        <v>46660</v>
      </c>
      <c r="B141" s="173">
        <f t="shared" si="10"/>
        <v>46691</v>
      </c>
      <c r="C141" s="173"/>
      <c r="D141" s="174">
        <f t="shared" si="11"/>
        <v>138961.17819209039</v>
      </c>
      <c r="E141" s="174">
        <f t="shared" si="12"/>
        <v>7364942.444180809</v>
      </c>
      <c r="F141" s="175">
        <f t="shared" si="8"/>
        <v>41771.730164542474</v>
      </c>
      <c r="G141" s="175"/>
      <c r="H141" s="174">
        <f t="shared" si="13"/>
        <v>180732.90835663286</v>
      </c>
      <c r="J141" s="177">
        <f t="shared" si="14"/>
        <v>40162.86852369619</v>
      </c>
    </row>
    <row r="142" spans="1:12" s="176" customFormat="1">
      <c r="A142" s="173">
        <f t="shared" si="9"/>
        <v>46691</v>
      </c>
      <c r="B142" s="173">
        <f t="shared" si="10"/>
        <v>46721</v>
      </c>
      <c r="C142" s="173"/>
      <c r="D142" s="174">
        <f t="shared" si="11"/>
        <v>138961.17819209039</v>
      </c>
      <c r="E142" s="174">
        <f t="shared" si="12"/>
        <v>7225981.2659887187</v>
      </c>
      <c r="F142" s="175">
        <f t="shared" ref="F142:F191" si="15">E141*(B141-A141)*$D$8/360</f>
        <v>42364.785592804496</v>
      </c>
      <c r="G142" s="175"/>
      <c r="H142" s="174">
        <f t="shared" si="13"/>
        <v>181325.96378489488</v>
      </c>
      <c r="J142" s="177">
        <f t="shared" si="14"/>
        <v>40294.658618865527</v>
      </c>
    </row>
    <row r="143" spans="1:12" s="176" customFormat="1">
      <c r="A143" s="173">
        <f t="shared" si="9"/>
        <v>46721</v>
      </c>
      <c r="B143" s="173">
        <f t="shared" si="10"/>
        <v>46752</v>
      </c>
      <c r="C143" s="173"/>
      <c r="D143" s="174">
        <f t="shared" si="11"/>
        <v>138961.17819209039</v>
      </c>
      <c r="E143" s="174">
        <f t="shared" si="12"/>
        <v>7087020.0877966285</v>
      </c>
      <c r="F143" s="175">
        <f t="shared" si="15"/>
        <v>40224.629047337199</v>
      </c>
      <c r="G143" s="175"/>
      <c r="H143" s="174">
        <f t="shared" si="13"/>
        <v>179185.80723942758</v>
      </c>
      <c r="J143" s="177">
        <f t="shared" si="14"/>
        <v>39819.068275428348</v>
      </c>
    </row>
    <row r="144" spans="1:12" s="171" customFormat="1">
      <c r="A144" s="168">
        <f t="shared" ref="A144:A194" si="16">EOMONTH(A143,1)</f>
        <v>46752</v>
      </c>
      <c r="B144" s="168">
        <f t="shared" ref="B144:B193" si="17">A145</f>
        <v>46783</v>
      </c>
      <c r="C144" s="168"/>
      <c r="D144" s="169">
        <f t="shared" ref="D144:D194" si="18">D143</f>
        <v>138961.17819209039</v>
      </c>
      <c r="E144" s="169">
        <f t="shared" ref="E144:E194" si="19">E143-D144</f>
        <v>6948058.9096045382</v>
      </c>
      <c r="F144" s="170">
        <f t="shared" si="15"/>
        <v>40766.114438359051</v>
      </c>
      <c r="G144" s="170"/>
      <c r="H144" s="169">
        <f t="shared" ref="H144:H194" si="20">D144+F144</f>
        <v>179727.29263044943</v>
      </c>
      <c r="J144" s="172">
        <f t="shared" ref="J144:J195" si="21">H144/4.5</f>
        <v>39939.398362322099</v>
      </c>
    </row>
    <row r="145" spans="1:12" s="176" customFormat="1">
      <c r="A145" s="173">
        <f t="shared" si="16"/>
        <v>46783</v>
      </c>
      <c r="B145" s="173">
        <f t="shared" si="17"/>
        <v>46812</v>
      </c>
      <c r="C145" s="173"/>
      <c r="D145" s="174">
        <f t="shared" si="18"/>
        <v>138961.17819209039</v>
      </c>
      <c r="E145" s="174">
        <f t="shared" si="19"/>
        <v>6809097.731412448</v>
      </c>
      <c r="F145" s="175">
        <f t="shared" si="15"/>
        <v>39966.778861136328</v>
      </c>
      <c r="G145" s="175"/>
      <c r="H145" s="174">
        <f t="shared" si="20"/>
        <v>178927.95705322671</v>
      </c>
      <c r="J145" s="177">
        <f t="shared" si="21"/>
        <v>39761.768234050382</v>
      </c>
      <c r="K145" s="177">
        <f>SUM(D133:D144)</f>
        <v>1667534.138305085</v>
      </c>
      <c r="L145" s="177">
        <f>SUM(F133:F144)</f>
        <v>531506.58881587279</v>
      </c>
    </row>
    <row r="146" spans="1:12" s="176" customFormat="1">
      <c r="A146" s="173">
        <f t="shared" si="16"/>
        <v>46812</v>
      </c>
      <c r="B146" s="173">
        <f t="shared" si="17"/>
        <v>46843</v>
      </c>
      <c r="C146" s="173"/>
      <c r="D146" s="174">
        <f t="shared" si="18"/>
        <v>138961.17819209039</v>
      </c>
      <c r="E146" s="174">
        <f t="shared" si="19"/>
        <v>6670136.5532203577</v>
      </c>
      <c r="F146" s="175">
        <f t="shared" si="15"/>
        <v>36640.511459144982</v>
      </c>
      <c r="G146" s="175"/>
      <c r="H146" s="174">
        <f t="shared" si="20"/>
        <v>175601.68965123536</v>
      </c>
      <c r="J146" s="177">
        <f t="shared" si="21"/>
        <v>39022.59770027452</v>
      </c>
    </row>
    <row r="147" spans="1:12" s="176" customFormat="1">
      <c r="A147" s="173">
        <f t="shared" si="16"/>
        <v>46843</v>
      </c>
      <c r="B147" s="173">
        <f t="shared" si="17"/>
        <v>46873</v>
      </c>
      <c r="C147" s="173"/>
      <c r="D147" s="174">
        <f t="shared" si="18"/>
        <v>138961.17819209039</v>
      </c>
      <c r="E147" s="174">
        <f t="shared" si="19"/>
        <v>6531175.3750282675</v>
      </c>
      <c r="F147" s="175">
        <f t="shared" si="15"/>
        <v>38368.107706690877</v>
      </c>
      <c r="G147" s="175"/>
      <c r="H147" s="174">
        <f t="shared" si="20"/>
        <v>177329.28589878127</v>
      </c>
      <c r="J147" s="177">
        <f t="shared" si="21"/>
        <v>39406.507977506946</v>
      </c>
    </row>
    <row r="148" spans="1:12" s="176" customFormat="1">
      <c r="A148" s="173">
        <f t="shared" si="16"/>
        <v>46873</v>
      </c>
      <c r="B148" s="173">
        <f t="shared" si="17"/>
        <v>46904</v>
      </c>
      <c r="C148" s="173"/>
      <c r="D148" s="174">
        <f t="shared" si="18"/>
        <v>138961.17819209039</v>
      </c>
      <c r="E148" s="174">
        <f t="shared" si="19"/>
        <v>6392214.1968361773</v>
      </c>
      <c r="F148" s="175">
        <f t="shared" si="15"/>
        <v>36356.876254324023</v>
      </c>
      <c r="G148" s="175"/>
      <c r="H148" s="174">
        <f t="shared" si="20"/>
        <v>175318.0544464144</v>
      </c>
      <c r="J148" s="177">
        <f t="shared" si="21"/>
        <v>38959.567654758757</v>
      </c>
    </row>
    <row r="149" spans="1:12" s="176" customFormat="1">
      <c r="A149" s="173">
        <f t="shared" si="16"/>
        <v>46904</v>
      </c>
      <c r="B149" s="173">
        <f t="shared" si="17"/>
        <v>46934</v>
      </c>
      <c r="C149" s="173"/>
      <c r="D149" s="174">
        <f t="shared" si="18"/>
        <v>138961.17819209039</v>
      </c>
      <c r="E149" s="174">
        <f t="shared" si="19"/>
        <v>6253253.018644087</v>
      </c>
      <c r="F149" s="175">
        <f t="shared" si="15"/>
        <v>36769.436552245432</v>
      </c>
      <c r="G149" s="175"/>
      <c r="H149" s="174">
        <f t="shared" si="20"/>
        <v>175730.61474433582</v>
      </c>
      <c r="J149" s="177">
        <f t="shared" si="21"/>
        <v>39051.247720963518</v>
      </c>
    </row>
    <row r="150" spans="1:12" s="176" customFormat="1">
      <c r="A150" s="173">
        <f t="shared" si="16"/>
        <v>46934</v>
      </c>
      <c r="B150" s="173">
        <f t="shared" si="17"/>
        <v>46965</v>
      </c>
      <c r="C150" s="173"/>
      <c r="D150" s="174">
        <f t="shared" si="18"/>
        <v>138961.17819209039</v>
      </c>
      <c r="E150" s="174">
        <f t="shared" si="19"/>
        <v>6114291.8404519968</v>
      </c>
      <c r="F150" s="175">
        <f t="shared" si="15"/>
        <v>34809.775137118748</v>
      </c>
      <c r="G150" s="175"/>
      <c r="H150" s="174">
        <f t="shared" si="20"/>
        <v>173770.95332920912</v>
      </c>
      <c r="J150" s="177">
        <f t="shared" si="21"/>
        <v>38615.767406490915</v>
      </c>
    </row>
    <row r="151" spans="1:12" s="176" customFormat="1">
      <c r="A151" s="173">
        <f t="shared" si="16"/>
        <v>46965</v>
      </c>
      <c r="B151" s="173">
        <f t="shared" si="17"/>
        <v>46996</v>
      </c>
      <c r="C151" s="173"/>
      <c r="D151" s="174">
        <f t="shared" si="18"/>
        <v>138961.17819209039</v>
      </c>
      <c r="E151" s="174">
        <f t="shared" si="19"/>
        <v>5975330.6622599065</v>
      </c>
      <c r="F151" s="175">
        <f t="shared" si="15"/>
        <v>35170.765397799987</v>
      </c>
      <c r="G151" s="175"/>
      <c r="H151" s="174">
        <f t="shared" si="20"/>
        <v>174131.94358989038</v>
      </c>
      <c r="J151" s="177">
        <f t="shared" si="21"/>
        <v>38695.987464420083</v>
      </c>
    </row>
    <row r="152" spans="1:12" s="176" customFormat="1">
      <c r="A152" s="173">
        <f t="shared" si="16"/>
        <v>46996</v>
      </c>
      <c r="B152" s="173">
        <f t="shared" si="17"/>
        <v>47026</v>
      </c>
      <c r="C152" s="173"/>
      <c r="D152" s="174">
        <f t="shared" si="18"/>
        <v>138961.17819209039</v>
      </c>
      <c r="E152" s="174">
        <f t="shared" si="19"/>
        <v>5836369.4840678163</v>
      </c>
      <c r="F152" s="175">
        <f t="shared" si="15"/>
        <v>34371.429820577265</v>
      </c>
      <c r="G152" s="175"/>
      <c r="H152" s="174">
        <f t="shared" si="20"/>
        <v>173332.60801266765</v>
      </c>
      <c r="J152" s="177">
        <f t="shared" si="21"/>
        <v>38518.357336148365</v>
      </c>
    </row>
    <row r="153" spans="1:12" s="176" customFormat="1">
      <c r="A153" s="173">
        <f t="shared" si="16"/>
        <v>47026</v>
      </c>
      <c r="B153" s="173">
        <f t="shared" si="17"/>
        <v>47057</v>
      </c>
      <c r="C153" s="173"/>
      <c r="D153" s="174">
        <f t="shared" si="18"/>
        <v>138961.17819209039</v>
      </c>
      <c r="E153" s="174">
        <f t="shared" si="19"/>
        <v>5697408.305875726</v>
      </c>
      <c r="F153" s="175">
        <f t="shared" si="15"/>
        <v>32489.123461310846</v>
      </c>
      <c r="G153" s="175"/>
      <c r="H153" s="174">
        <f t="shared" si="20"/>
        <v>171450.30165340123</v>
      </c>
      <c r="J153" s="177">
        <f t="shared" si="21"/>
        <v>38100.067034089159</v>
      </c>
    </row>
    <row r="154" spans="1:12" s="176" customFormat="1">
      <c r="A154" s="173">
        <f t="shared" si="16"/>
        <v>47057</v>
      </c>
      <c r="B154" s="173">
        <f t="shared" si="17"/>
        <v>47087</v>
      </c>
      <c r="C154" s="173"/>
      <c r="D154" s="174">
        <f t="shared" si="18"/>
        <v>138961.17819209039</v>
      </c>
      <c r="E154" s="174">
        <f t="shared" si="19"/>
        <v>5558447.1276836358</v>
      </c>
      <c r="F154" s="175">
        <f t="shared" si="15"/>
        <v>32772.758666131813</v>
      </c>
      <c r="G154" s="175"/>
      <c r="H154" s="174">
        <f t="shared" si="20"/>
        <v>171733.93685822221</v>
      </c>
      <c r="J154" s="177">
        <f t="shared" si="21"/>
        <v>38163.097079604937</v>
      </c>
    </row>
    <row r="155" spans="1:12" s="176" customFormat="1">
      <c r="A155" s="173">
        <f t="shared" si="16"/>
        <v>47087</v>
      </c>
      <c r="B155" s="173">
        <f t="shared" si="17"/>
        <v>47118</v>
      </c>
      <c r="C155" s="173"/>
      <c r="D155" s="174">
        <f t="shared" si="18"/>
        <v>138961.17819209039</v>
      </c>
      <c r="E155" s="174">
        <f t="shared" si="19"/>
        <v>5419485.9494915456</v>
      </c>
      <c r="F155" s="175">
        <f t="shared" si="15"/>
        <v>30942.022344105571</v>
      </c>
      <c r="G155" s="175"/>
      <c r="H155" s="174">
        <f t="shared" si="20"/>
        <v>169903.20053619595</v>
      </c>
      <c r="J155" s="177">
        <f t="shared" si="21"/>
        <v>37756.266785821324</v>
      </c>
    </row>
    <row r="156" spans="1:12" s="171" customFormat="1">
      <c r="A156" s="168">
        <f t="shared" si="16"/>
        <v>47118</v>
      </c>
      <c r="B156" s="168">
        <f t="shared" si="17"/>
        <v>47149</v>
      </c>
      <c r="C156" s="168"/>
      <c r="D156" s="169">
        <f t="shared" si="18"/>
        <v>138961.17819209039</v>
      </c>
      <c r="E156" s="169">
        <f t="shared" si="19"/>
        <v>5280524.7712994553</v>
      </c>
      <c r="F156" s="170">
        <f t="shared" si="15"/>
        <v>31174.087511686364</v>
      </c>
      <c r="G156" s="170"/>
      <c r="H156" s="169">
        <f t="shared" si="20"/>
        <v>170135.26570377676</v>
      </c>
      <c r="J156" s="172">
        <f t="shared" si="21"/>
        <v>37807.836823061501</v>
      </c>
    </row>
    <row r="157" spans="1:12" s="176" customFormat="1">
      <c r="A157" s="173">
        <f t="shared" si="16"/>
        <v>47149</v>
      </c>
      <c r="B157" s="173">
        <f t="shared" si="17"/>
        <v>47177</v>
      </c>
      <c r="C157" s="173"/>
      <c r="D157" s="174">
        <f t="shared" si="18"/>
        <v>138961.17819209039</v>
      </c>
      <c r="E157" s="174">
        <f t="shared" si="19"/>
        <v>5141563.5931073651</v>
      </c>
      <c r="F157" s="175">
        <f t="shared" si="15"/>
        <v>30374.751934463646</v>
      </c>
      <c r="G157" s="175"/>
      <c r="H157" s="174">
        <f t="shared" si="20"/>
        <v>169335.93012655404</v>
      </c>
      <c r="J157" s="177">
        <f t="shared" si="21"/>
        <v>37630.206694789784</v>
      </c>
      <c r="K157" s="177">
        <f>SUM(D145:D156)</f>
        <v>1667534.138305085</v>
      </c>
      <c r="L157" s="177">
        <f>SUM(F145:F156)</f>
        <v>419831.67317227228</v>
      </c>
    </row>
    <row r="158" spans="1:12" s="176" customFormat="1">
      <c r="A158" s="173">
        <f t="shared" si="16"/>
        <v>47177</v>
      </c>
      <c r="B158" s="173">
        <f t="shared" si="17"/>
        <v>47208</v>
      </c>
      <c r="C158" s="173"/>
      <c r="D158" s="174">
        <f t="shared" si="18"/>
        <v>138961.17819209039</v>
      </c>
      <c r="E158" s="174">
        <f t="shared" si="19"/>
        <v>5002602.4149152748</v>
      </c>
      <c r="F158" s="175">
        <f t="shared" si="15"/>
        <v>26713.279290411156</v>
      </c>
      <c r="G158" s="175"/>
      <c r="H158" s="174">
        <f t="shared" si="20"/>
        <v>165674.45748250154</v>
      </c>
      <c r="J158" s="177">
        <f t="shared" si="21"/>
        <v>36816.546107222566</v>
      </c>
    </row>
    <row r="159" spans="1:12" s="176" customFormat="1">
      <c r="A159" s="173">
        <f t="shared" si="16"/>
        <v>47208</v>
      </c>
      <c r="B159" s="173">
        <f t="shared" si="17"/>
        <v>47238</v>
      </c>
      <c r="C159" s="173"/>
      <c r="D159" s="174">
        <f t="shared" si="18"/>
        <v>138961.17819209039</v>
      </c>
      <c r="E159" s="174">
        <f t="shared" si="19"/>
        <v>4863641.2367231846</v>
      </c>
      <c r="F159" s="175">
        <f t="shared" si="15"/>
        <v>28776.080780018197</v>
      </c>
      <c r="G159" s="175"/>
      <c r="H159" s="174">
        <f t="shared" si="20"/>
        <v>167737.2589721086</v>
      </c>
      <c r="J159" s="177">
        <f t="shared" si="21"/>
        <v>37274.946438246356</v>
      </c>
    </row>
    <row r="160" spans="1:12" s="176" customFormat="1">
      <c r="A160" s="173">
        <f t="shared" si="16"/>
        <v>47238</v>
      </c>
      <c r="B160" s="173">
        <f t="shared" si="17"/>
        <v>47269</v>
      </c>
      <c r="C160" s="173"/>
      <c r="D160" s="174">
        <f t="shared" si="18"/>
        <v>138961.17819209039</v>
      </c>
      <c r="E160" s="174">
        <f t="shared" si="19"/>
        <v>4724680.0585310943</v>
      </c>
      <c r="F160" s="175">
        <f t="shared" si="15"/>
        <v>27074.269551092391</v>
      </c>
      <c r="G160" s="175"/>
      <c r="H160" s="174">
        <f t="shared" si="20"/>
        <v>166035.44774318277</v>
      </c>
      <c r="J160" s="177">
        <f t="shared" si="21"/>
        <v>36896.766165151726</v>
      </c>
    </row>
    <row r="161" spans="1:12" s="176" customFormat="1">
      <c r="A161" s="173">
        <f t="shared" si="16"/>
        <v>47269</v>
      </c>
      <c r="B161" s="173">
        <f t="shared" si="17"/>
        <v>47299</v>
      </c>
      <c r="C161" s="173"/>
      <c r="D161" s="174">
        <f t="shared" si="18"/>
        <v>138961.17819209039</v>
      </c>
      <c r="E161" s="174">
        <f t="shared" si="19"/>
        <v>4585718.8803390041</v>
      </c>
      <c r="F161" s="175">
        <f t="shared" si="15"/>
        <v>27177.409625572749</v>
      </c>
      <c r="G161" s="175"/>
      <c r="H161" s="174">
        <f t="shared" si="20"/>
        <v>166138.58781766315</v>
      </c>
      <c r="J161" s="177">
        <f t="shared" si="21"/>
        <v>36919.68618170292</v>
      </c>
    </row>
    <row r="162" spans="1:12" s="176" customFormat="1">
      <c r="A162" s="173">
        <f t="shared" si="16"/>
        <v>47299</v>
      </c>
      <c r="B162" s="173">
        <f t="shared" si="17"/>
        <v>47330</v>
      </c>
      <c r="C162" s="173"/>
      <c r="D162" s="174">
        <f t="shared" si="18"/>
        <v>138961.17819209039</v>
      </c>
      <c r="E162" s="174">
        <f t="shared" si="19"/>
        <v>4446757.7021469139</v>
      </c>
      <c r="F162" s="175">
        <f t="shared" si="15"/>
        <v>25527.168433887124</v>
      </c>
      <c r="G162" s="175"/>
      <c r="H162" s="174">
        <f t="shared" si="20"/>
        <v>164488.34662597752</v>
      </c>
      <c r="J162" s="177">
        <f t="shared" si="21"/>
        <v>36552.965916883892</v>
      </c>
    </row>
    <row r="163" spans="1:12" s="176" customFormat="1">
      <c r="A163" s="173">
        <f t="shared" si="16"/>
        <v>47330</v>
      </c>
      <c r="B163" s="173">
        <f t="shared" si="17"/>
        <v>47361</v>
      </c>
      <c r="C163" s="173"/>
      <c r="D163" s="174">
        <f t="shared" si="18"/>
        <v>138961.17819209039</v>
      </c>
      <c r="E163" s="174">
        <f t="shared" si="19"/>
        <v>4307796.5239548236</v>
      </c>
      <c r="F163" s="175">
        <f t="shared" si="15"/>
        <v>25578.738471127301</v>
      </c>
      <c r="G163" s="175"/>
      <c r="H163" s="174">
        <f t="shared" si="20"/>
        <v>164539.91666321768</v>
      </c>
      <c r="J163" s="177">
        <f t="shared" si="21"/>
        <v>36564.425925159485</v>
      </c>
    </row>
    <row r="164" spans="1:12" s="176" customFormat="1">
      <c r="A164" s="173">
        <f t="shared" si="16"/>
        <v>47361</v>
      </c>
      <c r="B164" s="173">
        <f t="shared" si="17"/>
        <v>47391</v>
      </c>
      <c r="C164" s="173"/>
      <c r="D164" s="174">
        <f t="shared" si="18"/>
        <v>138961.17819209039</v>
      </c>
      <c r="E164" s="174">
        <f t="shared" si="19"/>
        <v>4168835.3457627334</v>
      </c>
      <c r="F164" s="175">
        <f t="shared" si="15"/>
        <v>24779.402893904582</v>
      </c>
      <c r="G164" s="175"/>
      <c r="H164" s="174">
        <f t="shared" si="20"/>
        <v>163740.58108599496</v>
      </c>
      <c r="J164" s="177">
        <f t="shared" si="21"/>
        <v>36386.795796887767</v>
      </c>
    </row>
    <row r="165" spans="1:12" s="176" customFormat="1">
      <c r="A165" s="173">
        <f t="shared" si="16"/>
        <v>47391</v>
      </c>
      <c r="B165" s="173">
        <f t="shared" si="17"/>
        <v>47422</v>
      </c>
      <c r="C165" s="173"/>
      <c r="D165" s="174">
        <f t="shared" si="18"/>
        <v>138961.17819209039</v>
      </c>
      <c r="E165" s="174">
        <f t="shared" si="19"/>
        <v>4029874.1675706431</v>
      </c>
      <c r="F165" s="175">
        <f t="shared" si="15"/>
        <v>23206.516758079215</v>
      </c>
      <c r="G165" s="175"/>
      <c r="H165" s="174">
        <f t="shared" si="20"/>
        <v>162167.69495016959</v>
      </c>
      <c r="J165" s="177">
        <f t="shared" si="21"/>
        <v>36037.265544482128</v>
      </c>
    </row>
    <row r="166" spans="1:12" s="176" customFormat="1">
      <c r="A166" s="173">
        <f t="shared" si="16"/>
        <v>47422</v>
      </c>
      <c r="B166" s="173">
        <f t="shared" si="17"/>
        <v>47452</v>
      </c>
      <c r="C166" s="173"/>
      <c r="D166" s="174">
        <f t="shared" si="18"/>
        <v>138961.17819209039</v>
      </c>
      <c r="E166" s="174">
        <f t="shared" si="19"/>
        <v>3890912.9893785529</v>
      </c>
      <c r="F166" s="175">
        <f t="shared" si="15"/>
        <v>23180.73173945913</v>
      </c>
      <c r="G166" s="175"/>
      <c r="H166" s="174">
        <f t="shared" si="20"/>
        <v>162141.90993154951</v>
      </c>
      <c r="J166" s="177">
        <f t="shared" si="21"/>
        <v>36031.535540344339</v>
      </c>
    </row>
    <row r="167" spans="1:12" s="176" customFormat="1">
      <c r="A167" s="173">
        <f t="shared" si="16"/>
        <v>47452</v>
      </c>
      <c r="B167" s="173">
        <f t="shared" si="17"/>
        <v>47483</v>
      </c>
      <c r="C167" s="173"/>
      <c r="D167" s="174">
        <f t="shared" si="18"/>
        <v>138961.17819209039</v>
      </c>
      <c r="E167" s="174">
        <f t="shared" si="19"/>
        <v>3751951.8111864626</v>
      </c>
      <c r="F167" s="175">
        <f t="shared" si="15"/>
        <v>21659.415640873944</v>
      </c>
      <c r="G167" s="175"/>
      <c r="H167" s="174">
        <f t="shared" si="20"/>
        <v>160620.59383296434</v>
      </c>
      <c r="J167" s="177">
        <f t="shared" si="21"/>
        <v>35693.465296214301</v>
      </c>
    </row>
    <row r="168" spans="1:12" s="171" customFormat="1">
      <c r="A168" s="168">
        <f t="shared" si="16"/>
        <v>47483</v>
      </c>
      <c r="B168" s="168">
        <f t="shared" si="17"/>
        <v>47514</v>
      </c>
      <c r="C168" s="168"/>
      <c r="D168" s="169">
        <f t="shared" si="18"/>
        <v>138961.17819209039</v>
      </c>
      <c r="E168" s="169">
        <f t="shared" si="19"/>
        <v>3612990.6329943724</v>
      </c>
      <c r="F168" s="170">
        <f t="shared" si="15"/>
        <v>21582.060585013685</v>
      </c>
      <c r="G168" s="170"/>
      <c r="H168" s="169">
        <f t="shared" si="20"/>
        <v>160543.23877710407</v>
      </c>
      <c r="J168" s="172">
        <f t="shared" si="21"/>
        <v>35676.275283800904</v>
      </c>
    </row>
    <row r="169" spans="1:12" s="176" customFormat="1">
      <c r="A169" s="173">
        <f t="shared" si="16"/>
        <v>47514</v>
      </c>
      <c r="B169" s="173">
        <f t="shared" si="17"/>
        <v>47542</v>
      </c>
      <c r="C169" s="173"/>
      <c r="D169" s="174">
        <f t="shared" si="18"/>
        <v>138961.17819209039</v>
      </c>
      <c r="E169" s="174">
        <f t="shared" si="19"/>
        <v>3474029.4548022822</v>
      </c>
      <c r="F169" s="175">
        <f t="shared" si="15"/>
        <v>20782.725007790963</v>
      </c>
      <c r="G169" s="175"/>
      <c r="H169" s="174">
        <f t="shared" si="20"/>
        <v>159743.90319988134</v>
      </c>
      <c r="J169" s="177">
        <f t="shared" si="21"/>
        <v>35498.645155529186</v>
      </c>
      <c r="K169" s="177">
        <f>SUM(D157:D168)</f>
        <v>1667534.138305085</v>
      </c>
      <c r="L169" s="177">
        <f>SUM(F157:F168)</f>
        <v>305629.82570390316</v>
      </c>
    </row>
    <row r="170" spans="1:12" s="176" customFormat="1">
      <c r="A170" s="173">
        <f t="shared" si="16"/>
        <v>47542</v>
      </c>
      <c r="B170" s="173">
        <f t="shared" si="17"/>
        <v>47573</v>
      </c>
      <c r="C170" s="173"/>
      <c r="D170" s="174">
        <f t="shared" si="18"/>
        <v>138961.17819209039</v>
      </c>
      <c r="E170" s="174">
        <f t="shared" si="19"/>
        <v>3335068.2766101919</v>
      </c>
      <c r="F170" s="175">
        <f t="shared" si="15"/>
        <v>18049.513034061634</v>
      </c>
      <c r="G170" s="175"/>
      <c r="H170" s="174">
        <f t="shared" si="20"/>
        <v>157010.69122615203</v>
      </c>
      <c r="J170" s="177">
        <f t="shared" si="21"/>
        <v>34891.264716922677</v>
      </c>
    </row>
    <row r="171" spans="1:12" s="176" customFormat="1">
      <c r="A171" s="173">
        <f t="shared" si="16"/>
        <v>47573</v>
      </c>
      <c r="B171" s="173">
        <f t="shared" si="17"/>
        <v>47603</v>
      </c>
      <c r="C171" s="173"/>
      <c r="D171" s="174">
        <f t="shared" si="18"/>
        <v>138961.17819209039</v>
      </c>
      <c r="E171" s="174">
        <f t="shared" si="19"/>
        <v>3196107.0984181017</v>
      </c>
      <c r="F171" s="175">
        <f t="shared" si="15"/>
        <v>19184.053853345515</v>
      </c>
      <c r="G171" s="175"/>
      <c r="H171" s="174">
        <f t="shared" si="20"/>
        <v>158145.2320454359</v>
      </c>
      <c r="J171" s="177">
        <f t="shared" si="21"/>
        <v>35143.384898985758</v>
      </c>
    </row>
    <row r="172" spans="1:12" s="176" customFormat="1">
      <c r="A172" s="173">
        <f t="shared" si="16"/>
        <v>47603</v>
      </c>
      <c r="B172" s="173">
        <f t="shared" si="17"/>
        <v>47634</v>
      </c>
      <c r="C172" s="173"/>
      <c r="D172" s="174">
        <f t="shared" si="18"/>
        <v>138961.17819209039</v>
      </c>
      <c r="E172" s="174">
        <f t="shared" si="19"/>
        <v>3057145.9202260114</v>
      </c>
      <c r="F172" s="175">
        <f t="shared" si="15"/>
        <v>17791.662847860767</v>
      </c>
      <c r="G172" s="175"/>
      <c r="H172" s="174">
        <f t="shared" si="20"/>
        <v>156752.84103995116</v>
      </c>
      <c r="J172" s="177">
        <f t="shared" si="21"/>
        <v>34833.964675544703</v>
      </c>
    </row>
    <row r="173" spans="1:12" s="176" customFormat="1">
      <c r="A173" s="173">
        <f t="shared" si="16"/>
        <v>47634</v>
      </c>
      <c r="B173" s="173">
        <f t="shared" si="17"/>
        <v>47664</v>
      </c>
      <c r="C173" s="173"/>
      <c r="D173" s="174">
        <f t="shared" si="18"/>
        <v>138961.17819209039</v>
      </c>
      <c r="E173" s="174">
        <f t="shared" si="19"/>
        <v>2918184.7420339212</v>
      </c>
      <c r="F173" s="175">
        <f t="shared" si="15"/>
        <v>17585.38269890007</v>
      </c>
      <c r="G173" s="175"/>
      <c r="H173" s="174">
        <f t="shared" si="20"/>
        <v>156546.56089099045</v>
      </c>
      <c r="J173" s="177">
        <f t="shared" si="21"/>
        <v>34788.124642442323</v>
      </c>
    </row>
    <row r="174" spans="1:12" s="176" customFormat="1">
      <c r="A174" s="173">
        <f t="shared" si="16"/>
        <v>47664</v>
      </c>
      <c r="B174" s="173">
        <f t="shared" si="17"/>
        <v>47695</v>
      </c>
      <c r="C174" s="173"/>
      <c r="D174" s="174">
        <f t="shared" si="18"/>
        <v>138961.17819209039</v>
      </c>
      <c r="E174" s="174">
        <f t="shared" si="19"/>
        <v>2779223.5638418309</v>
      </c>
      <c r="F174" s="175">
        <f t="shared" si="15"/>
        <v>16244.561730655494</v>
      </c>
      <c r="G174" s="175"/>
      <c r="H174" s="174">
        <f t="shared" si="20"/>
        <v>155205.73992274588</v>
      </c>
      <c r="J174" s="177">
        <f t="shared" si="21"/>
        <v>34490.164427276861</v>
      </c>
    </row>
    <row r="175" spans="1:12" s="176" customFormat="1">
      <c r="A175" s="173">
        <f t="shared" si="16"/>
        <v>47695</v>
      </c>
      <c r="B175" s="173">
        <f t="shared" si="17"/>
        <v>47726</v>
      </c>
      <c r="C175" s="173"/>
      <c r="D175" s="174">
        <f t="shared" si="18"/>
        <v>138961.17819209039</v>
      </c>
      <c r="E175" s="174">
        <f t="shared" si="19"/>
        <v>2640262.3856497407</v>
      </c>
      <c r="F175" s="175">
        <f t="shared" si="15"/>
        <v>15986.71154445462</v>
      </c>
      <c r="G175" s="175"/>
      <c r="H175" s="174">
        <f t="shared" si="20"/>
        <v>154947.88973654501</v>
      </c>
      <c r="J175" s="177">
        <f t="shared" si="21"/>
        <v>34432.864385898894</v>
      </c>
    </row>
    <row r="176" spans="1:12" s="176" customFormat="1">
      <c r="A176" s="173">
        <f t="shared" si="16"/>
        <v>47726</v>
      </c>
      <c r="B176" s="173">
        <f t="shared" si="17"/>
        <v>47756</v>
      </c>
      <c r="C176" s="173"/>
      <c r="D176" s="174">
        <f t="shared" si="18"/>
        <v>138961.17819209039</v>
      </c>
      <c r="E176" s="174">
        <f t="shared" si="19"/>
        <v>2501301.2074576505</v>
      </c>
      <c r="F176" s="175">
        <f t="shared" si="15"/>
        <v>15187.375967231897</v>
      </c>
      <c r="G176" s="175"/>
      <c r="H176" s="174">
        <f t="shared" si="20"/>
        <v>154148.55415932229</v>
      </c>
      <c r="J176" s="177">
        <f t="shared" si="21"/>
        <v>34255.234257627177</v>
      </c>
    </row>
    <row r="177" spans="1:12" s="176" customFormat="1">
      <c r="A177" s="173">
        <f t="shared" si="16"/>
        <v>47756</v>
      </c>
      <c r="B177" s="173">
        <f t="shared" si="17"/>
        <v>47787</v>
      </c>
      <c r="C177" s="173"/>
      <c r="D177" s="174">
        <f t="shared" si="18"/>
        <v>138961.17819209039</v>
      </c>
      <c r="E177" s="174">
        <f t="shared" si="19"/>
        <v>2362340.0292655602</v>
      </c>
      <c r="F177" s="175">
        <f t="shared" si="15"/>
        <v>13923.910054847587</v>
      </c>
      <c r="G177" s="175"/>
      <c r="H177" s="174">
        <f t="shared" si="20"/>
        <v>152885.08824693799</v>
      </c>
      <c r="J177" s="177">
        <f t="shared" si="21"/>
        <v>33974.464054875105</v>
      </c>
    </row>
    <row r="178" spans="1:12" s="176" customFormat="1">
      <c r="A178" s="173">
        <f t="shared" si="16"/>
        <v>47787</v>
      </c>
      <c r="B178" s="173">
        <f t="shared" si="17"/>
        <v>47817</v>
      </c>
      <c r="C178" s="173"/>
      <c r="D178" s="174">
        <f t="shared" si="18"/>
        <v>138961.17819209039</v>
      </c>
      <c r="E178" s="174">
        <f t="shared" si="19"/>
        <v>2223378.85107347</v>
      </c>
      <c r="F178" s="175">
        <f t="shared" si="15"/>
        <v>13588.704812786451</v>
      </c>
      <c r="G178" s="175"/>
      <c r="H178" s="174">
        <f t="shared" si="20"/>
        <v>152549.88300487684</v>
      </c>
      <c r="J178" s="177">
        <f t="shared" si="21"/>
        <v>33899.974001083741</v>
      </c>
    </row>
    <row r="179" spans="1:12" s="176" customFormat="1">
      <c r="A179" s="173">
        <f t="shared" si="16"/>
        <v>47817</v>
      </c>
      <c r="B179" s="173">
        <f t="shared" si="17"/>
        <v>47848</v>
      </c>
      <c r="C179" s="173"/>
      <c r="D179" s="174">
        <f t="shared" si="18"/>
        <v>138961.17819209039</v>
      </c>
      <c r="E179" s="174">
        <f t="shared" si="19"/>
        <v>2084417.6728813795</v>
      </c>
      <c r="F179" s="175">
        <f t="shared" si="15"/>
        <v>12376.808937642314</v>
      </c>
      <c r="G179" s="175"/>
      <c r="H179" s="174">
        <f t="shared" si="20"/>
        <v>151337.9871297327</v>
      </c>
      <c r="J179" s="177">
        <f t="shared" si="21"/>
        <v>33630.66380660727</v>
      </c>
    </row>
    <row r="180" spans="1:12" s="171" customFormat="1">
      <c r="A180" s="168">
        <f t="shared" si="16"/>
        <v>47848</v>
      </c>
      <c r="B180" s="168">
        <f t="shared" si="17"/>
        <v>47879</v>
      </c>
      <c r="C180" s="168"/>
      <c r="D180" s="169">
        <f t="shared" si="18"/>
        <v>138961.17819209039</v>
      </c>
      <c r="E180" s="169">
        <f t="shared" si="19"/>
        <v>1945456.494689289</v>
      </c>
      <c r="F180" s="170">
        <f t="shared" si="15"/>
        <v>11990.033658341001</v>
      </c>
      <c r="G180" s="170"/>
      <c r="H180" s="169">
        <f t="shared" si="20"/>
        <v>150951.2118504314</v>
      </c>
      <c r="J180" s="172">
        <f t="shared" si="21"/>
        <v>33544.713744540313</v>
      </c>
    </row>
    <row r="181" spans="1:12" s="176" customFormat="1">
      <c r="A181" s="173">
        <f t="shared" si="16"/>
        <v>47879</v>
      </c>
      <c r="B181" s="173">
        <f t="shared" si="17"/>
        <v>47907</v>
      </c>
      <c r="C181" s="173"/>
      <c r="D181" s="174">
        <f t="shared" si="18"/>
        <v>138961.17819209039</v>
      </c>
      <c r="E181" s="174">
        <f t="shared" si="19"/>
        <v>1806495.3164971985</v>
      </c>
      <c r="F181" s="175">
        <f t="shared" si="15"/>
        <v>11190.698081118277</v>
      </c>
      <c r="G181" s="175"/>
      <c r="H181" s="174">
        <f t="shared" si="20"/>
        <v>150151.87627320868</v>
      </c>
      <c r="J181" s="177">
        <f t="shared" si="21"/>
        <v>33367.083616268596</v>
      </c>
      <c r="K181" s="177">
        <f>SUM(D169:D180)</f>
        <v>1667534.138305085</v>
      </c>
      <c r="L181" s="177">
        <f>SUM(F169:F180)</f>
        <v>192691.44414791834</v>
      </c>
    </row>
    <row r="182" spans="1:12" s="176" customFormat="1">
      <c r="A182" s="173">
        <f t="shared" si="16"/>
        <v>47907</v>
      </c>
      <c r="B182" s="173">
        <f t="shared" si="17"/>
        <v>47938</v>
      </c>
      <c r="C182" s="173"/>
      <c r="D182" s="174">
        <f t="shared" si="18"/>
        <v>138961.17819209039</v>
      </c>
      <c r="E182" s="174">
        <f t="shared" si="19"/>
        <v>1667534.1383051081</v>
      </c>
      <c r="F182" s="175">
        <f t="shared" si="15"/>
        <v>9385.746777712111</v>
      </c>
      <c r="G182" s="175"/>
      <c r="H182" s="174">
        <f t="shared" si="20"/>
        <v>148346.92496980249</v>
      </c>
      <c r="J182" s="177">
        <f t="shared" si="21"/>
        <v>32965.98332662278</v>
      </c>
    </row>
    <row r="183" spans="1:12" s="176" customFormat="1">
      <c r="A183" s="173">
        <f t="shared" si="16"/>
        <v>47938</v>
      </c>
      <c r="B183" s="173">
        <f t="shared" si="17"/>
        <v>47968</v>
      </c>
      <c r="C183" s="173"/>
      <c r="D183" s="174">
        <f t="shared" si="18"/>
        <v>138961.17819209039</v>
      </c>
      <c r="E183" s="174">
        <f t="shared" si="19"/>
        <v>1528572.9601130176</v>
      </c>
      <c r="F183" s="175">
        <f t="shared" si="15"/>
        <v>9592.0269266728264</v>
      </c>
      <c r="G183" s="175"/>
      <c r="H183" s="174">
        <f t="shared" si="20"/>
        <v>148553.2051187632</v>
      </c>
      <c r="J183" s="177">
        <f t="shared" si="21"/>
        <v>33011.823359725153</v>
      </c>
    </row>
    <row r="184" spans="1:12" s="176" customFormat="1">
      <c r="A184" s="173">
        <f t="shared" si="16"/>
        <v>47968</v>
      </c>
      <c r="B184" s="173">
        <f t="shared" si="17"/>
        <v>47999</v>
      </c>
      <c r="C184" s="173"/>
      <c r="D184" s="174">
        <f t="shared" si="18"/>
        <v>138961.17819209039</v>
      </c>
      <c r="E184" s="174">
        <f t="shared" si="19"/>
        <v>1389611.7819209271</v>
      </c>
      <c r="F184" s="175">
        <f t="shared" si="15"/>
        <v>8509.0561446291304</v>
      </c>
      <c r="G184" s="175"/>
      <c r="H184" s="174">
        <f t="shared" si="20"/>
        <v>147470.23433671953</v>
      </c>
      <c r="J184" s="177">
        <f t="shared" si="21"/>
        <v>32771.163185937672</v>
      </c>
    </row>
    <row r="185" spans="1:12" s="176" customFormat="1">
      <c r="A185" s="173">
        <f t="shared" si="16"/>
        <v>47999</v>
      </c>
      <c r="B185" s="173">
        <f t="shared" si="17"/>
        <v>48029</v>
      </c>
      <c r="C185" s="173"/>
      <c r="D185" s="174">
        <f t="shared" si="18"/>
        <v>138961.17819209039</v>
      </c>
      <c r="E185" s="174">
        <f t="shared" si="19"/>
        <v>1250650.6037288366</v>
      </c>
      <c r="F185" s="175">
        <f t="shared" si="15"/>
        <v>7993.3557722273772</v>
      </c>
      <c r="G185" s="175"/>
      <c r="H185" s="174">
        <f t="shared" si="20"/>
        <v>146954.53396431776</v>
      </c>
      <c r="J185" s="177">
        <f t="shared" si="21"/>
        <v>32656.563103181725</v>
      </c>
    </row>
    <row r="186" spans="1:12" s="176" customFormat="1">
      <c r="A186" s="173">
        <f t="shared" si="16"/>
        <v>48029</v>
      </c>
      <c r="B186" s="173">
        <f t="shared" si="17"/>
        <v>48060</v>
      </c>
      <c r="C186" s="173"/>
      <c r="D186" s="174">
        <f t="shared" si="18"/>
        <v>138961.17819209039</v>
      </c>
      <c r="E186" s="174">
        <f t="shared" si="19"/>
        <v>1111689.4255367462</v>
      </c>
      <c r="F186" s="175">
        <f t="shared" si="15"/>
        <v>6961.9550274238563</v>
      </c>
      <c r="G186" s="175"/>
      <c r="H186" s="174">
        <f t="shared" si="20"/>
        <v>145923.13321951425</v>
      </c>
      <c r="J186" s="177">
        <f t="shared" si="21"/>
        <v>32427.362937669834</v>
      </c>
    </row>
    <row r="187" spans="1:12" s="176" customFormat="1">
      <c r="A187" s="173">
        <f t="shared" si="16"/>
        <v>48060</v>
      </c>
      <c r="B187" s="173">
        <f t="shared" si="17"/>
        <v>48091</v>
      </c>
      <c r="C187" s="173"/>
      <c r="D187" s="174">
        <f t="shared" si="18"/>
        <v>138961.17819209039</v>
      </c>
      <c r="E187" s="174">
        <f t="shared" si="19"/>
        <v>972728.2473446558</v>
      </c>
      <c r="F187" s="175">
        <f t="shared" si="15"/>
        <v>6394.684617781928</v>
      </c>
      <c r="G187" s="175"/>
      <c r="H187" s="174">
        <f t="shared" si="20"/>
        <v>145355.86280987231</v>
      </c>
      <c r="J187" s="177">
        <f t="shared" si="21"/>
        <v>32301.302846638293</v>
      </c>
    </row>
    <row r="188" spans="1:12" s="176" customFormat="1">
      <c r="A188" s="173">
        <f t="shared" si="16"/>
        <v>48091</v>
      </c>
      <c r="B188" s="173">
        <f t="shared" si="17"/>
        <v>48121</v>
      </c>
      <c r="C188" s="173"/>
      <c r="D188" s="174">
        <f t="shared" si="18"/>
        <v>138961.17819209039</v>
      </c>
      <c r="E188" s="174">
        <f t="shared" si="19"/>
        <v>833767.06915256544</v>
      </c>
      <c r="F188" s="175">
        <f t="shared" si="15"/>
        <v>5595.3490405592038</v>
      </c>
      <c r="G188" s="175"/>
      <c r="H188" s="174">
        <f t="shared" si="20"/>
        <v>144556.52723264959</v>
      </c>
      <c r="J188" s="177">
        <f t="shared" si="21"/>
        <v>32123.672718366575</v>
      </c>
    </row>
    <row r="189" spans="1:12" s="176" customFormat="1">
      <c r="A189" s="173">
        <f t="shared" si="16"/>
        <v>48121</v>
      </c>
      <c r="B189" s="173">
        <f t="shared" si="17"/>
        <v>48152</v>
      </c>
      <c r="C189" s="173"/>
      <c r="D189" s="174">
        <f t="shared" si="18"/>
        <v>138961.17819209039</v>
      </c>
      <c r="E189" s="174">
        <f t="shared" si="19"/>
        <v>694805.89096047508</v>
      </c>
      <c r="F189" s="175">
        <f t="shared" si="15"/>
        <v>4641.3033516159476</v>
      </c>
      <c r="G189" s="175"/>
      <c r="H189" s="174">
        <f t="shared" si="20"/>
        <v>143602.48154370632</v>
      </c>
      <c r="J189" s="177">
        <f t="shared" si="21"/>
        <v>31911.66256526807</v>
      </c>
    </row>
    <row r="190" spans="1:12" s="176" customFormat="1">
      <c r="A190" s="173">
        <f t="shared" si="16"/>
        <v>48152</v>
      </c>
      <c r="B190" s="173">
        <f t="shared" si="17"/>
        <v>48182</v>
      </c>
      <c r="C190" s="173"/>
      <c r="D190" s="174">
        <f t="shared" si="18"/>
        <v>138961.17819209039</v>
      </c>
      <c r="E190" s="174">
        <f t="shared" si="19"/>
        <v>555844.71276838472</v>
      </c>
      <c r="F190" s="175">
        <f t="shared" si="15"/>
        <v>3996.6778861137554</v>
      </c>
      <c r="G190" s="175"/>
      <c r="H190" s="174">
        <f t="shared" si="20"/>
        <v>142957.85607820415</v>
      </c>
      <c r="J190" s="177">
        <f t="shared" si="21"/>
        <v>31768.412461823144</v>
      </c>
    </row>
    <row r="191" spans="1:12" s="176" customFormat="1">
      <c r="A191" s="173">
        <f t="shared" si="16"/>
        <v>48182</v>
      </c>
      <c r="B191" s="173">
        <f t="shared" si="17"/>
        <v>48213</v>
      </c>
      <c r="C191" s="173"/>
      <c r="D191" s="174">
        <f t="shared" si="18"/>
        <v>138961.17819209039</v>
      </c>
      <c r="E191" s="174">
        <f>E190-D191</f>
        <v>416883.53457629436</v>
      </c>
      <c r="F191" s="175">
        <f t="shared" si="15"/>
        <v>3094.2022344106749</v>
      </c>
      <c r="G191" s="175"/>
      <c r="H191" s="174">
        <f t="shared" si="20"/>
        <v>142055.38042650107</v>
      </c>
      <c r="J191" s="177">
        <f t="shared" si="21"/>
        <v>31567.862317000239</v>
      </c>
    </row>
    <row r="192" spans="1:12" s="171" customFormat="1">
      <c r="A192" s="168">
        <f t="shared" si="16"/>
        <v>48213</v>
      </c>
      <c r="B192" s="168">
        <f t="shared" si="17"/>
        <v>48244</v>
      </c>
      <c r="C192" s="168"/>
      <c r="D192" s="169">
        <f t="shared" si="18"/>
        <v>138961.17819209039</v>
      </c>
      <c r="E192" s="169">
        <f t="shared" si="19"/>
        <v>277922.356384204</v>
      </c>
      <c r="F192" s="170">
        <f>E191*(B191-A191)*$D$8/360</f>
        <v>2398.0067316683062</v>
      </c>
      <c r="G192" s="170"/>
      <c r="H192" s="169">
        <f t="shared" si="20"/>
        <v>141359.1849237587</v>
      </c>
      <c r="J192" s="172">
        <f t="shared" si="21"/>
        <v>31413.152205279712</v>
      </c>
    </row>
    <row r="193" spans="1:12" s="176" customFormat="1">
      <c r="A193" s="173">
        <f t="shared" si="16"/>
        <v>48244</v>
      </c>
      <c r="B193" s="173">
        <f t="shared" si="17"/>
        <v>48273</v>
      </c>
      <c r="C193" s="173"/>
      <c r="D193" s="174">
        <f t="shared" si="18"/>
        <v>138961.17819209039</v>
      </c>
      <c r="E193" s="174">
        <f t="shared" si="19"/>
        <v>138961.17819211361</v>
      </c>
      <c r="F193" s="175">
        <f>E192*(B192-A192)*$D$8/360</f>
        <v>1598.671154445582</v>
      </c>
      <c r="G193" s="175"/>
      <c r="H193" s="174">
        <f t="shared" si="20"/>
        <v>140559.84934653598</v>
      </c>
      <c r="J193" s="177">
        <f t="shared" si="21"/>
        <v>31235.522077007994</v>
      </c>
      <c r="K193" s="177"/>
      <c r="L193" s="177"/>
    </row>
    <row r="194" spans="1:12" s="176" customFormat="1">
      <c r="A194" s="173">
        <f t="shared" si="16"/>
        <v>48273</v>
      </c>
      <c r="B194" s="173"/>
      <c r="C194" s="173"/>
      <c r="D194" s="174">
        <f t="shared" si="18"/>
        <v>138961.17819209039</v>
      </c>
      <c r="E194" s="174">
        <f t="shared" si="19"/>
        <v>2.3224856704473495E-8</v>
      </c>
      <c r="F194" s="175">
        <f>E193*(B193-A193)*$D$8/360</f>
        <v>747.76553998267354</v>
      </c>
      <c r="G194" s="175"/>
      <c r="H194" s="174">
        <f t="shared" si="20"/>
        <v>139708.94373207306</v>
      </c>
      <c r="J194" s="177">
        <f t="shared" si="21"/>
        <v>31046.431940460679</v>
      </c>
      <c r="K194" s="177">
        <f>SUM(D181:D192)</f>
        <v>1667534.138305085</v>
      </c>
      <c r="L194" s="177">
        <f>SUM(F181:F192)</f>
        <v>79753.062591933412</v>
      </c>
    </row>
    <row r="195" spans="1:12" s="176" customFormat="1">
      <c r="A195" s="178" t="s">
        <v>32</v>
      </c>
      <c r="B195" s="178"/>
      <c r="C195" s="178"/>
      <c r="D195" s="179">
        <f>SUM(D14:D194)</f>
        <v>24596128.539999977</v>
      </c>
      <c r="E195" s="179"/>
      <c r="F195" s="179">
        <f>SUM(F14:F194)</f>
        <v>12642291.489354625</v>
      </c>
      <c r="G195" s="179"/>
      <c r="H195" s="179">
        <f>SUM(H14:H194)</f>
        <v>37238420.02935461</v>
      </c>
      <c r="J195" s="177">
        <f t="shared" si="21"/>
        <v>8275204.4509676909</v>
      </c>
      <c r="K195" s="177">
        <f>D194+D193</f>
        <v>277922.35638418078</v>
      </c>
      <c r="L195" s="177">
        <f>F194+F193</f>
        <v>2346.4366944282556</v>
      </c>
    </row>
    <row r="196" spans="1:12" s="176" customFormat="1">
      <c r="A196" s="180" t="s">
        <v>79</v>
      </c>
      <c r="B196" s="181"/>
      <c r="C196" s="181"/>
      <c r="D196" s="177"/>
      <c r="E196" s="177"/>
      <c r="F196" s="182"/>
      <c r="G196" s="182"/>
      <c r="H196" s="177"/>
      <c r="J196" s="177"/>
    </row>
    <row r="197" spans="1:12" s="176" customFormat="1">
      <c r="A197" s="181"/>
      <c r="B197" s="181"/>
      <c r="C197" s="181"/>
      <c r="D197" s="177"/>
      <c r="E197" s="177"/>
      <c r="F197" s="182"/>
      <c r="G197" s="182"/>
      <c r="H197" s="177"/>
      <c r="J197" s="177"/>
    </row>
    <row r="198" spans="1:12" s="176" customFormat="1">
      <c r="A198" s="181"/>
      <c r="B198" s="181"/>
      <c r="C198" s="181"/>
      <c r="D198" s="177"/>
      <c r="E198" s="177"/>
      <c r="F198" s="182"/>
      <c r="G198" s="182"/>
      <c r="H198" s="177"/>
      <c r="J198" s="177"/>
    </row>
    <row r="199" spans="1:12" s="176" customFormat="1">
      <c r="A199" s="181"/>
      <c r="B199" s="181"/>
      <c r="C199" s="181"/>
      <c r="D199" s="177"/>
      <c r="E199" s="177"/>
      <c r="F199" s="182"/>
      <c r="G199" s="182"/>
      <c r="H199" s="177"/>
      <c r="J199" s="177"/>
      <c r="K199" s="183">
        <f>SUM(K25:K195)</f>
        <v>24596128.54000001</v>
      </c>
      <c r="L199" s="183">
        <f>SUM(L25:L195)</f>
        <v>12642291.489354623</v>
      </c>
    </row>
    <row r="200" spans="1:12" s="176" customFormat="1">
      <c r="A200" s="181"/>
      <c r="B200" s="181"/>
      <c r="C200" s="181"/>
      <c r="D200" s="177"/>
      <c r="E200" s="177"/>
      <c r="F200" s="182"/>
      <c r="G200" s="182"/>
      <c r="H200" s="177"/>
      <c r="J200" s="177"/>
    </row>
    <row r="201" spans="1:12" s="176" customFormat="1">
      <c r="A201" s="181"/>
      <c r="B201" s="181"/>
      <c r="C201" s="181"/>
      <c r="D201" s="177"/>
      <c r="E201" s="177"/>
      <c r="F201" s="182"/>
      <c r="G201" s="182"/>
      <c r="H201" s="177"/>
      <c r="J201" s="177"/>
    </row>
    <row r="202" spans="1:12" s="176" customFormat="1">
      <c r="A202" s="181"/>
      <c r="B202" s="181"/>
      <c r="C202" s="181"/>
      <c r="D202" s="177"/>
      <c r="E202" s="177"/>
      <c r="F202" s="182"/>
      <c r="G202" s="182"/>
      <c r="H202" s="177"/>
      <c r="J202" s="177"/>
    </row>
    <row r="203" spans="1:12" s="176" customFormat="1">
      <c r="A203" s="181"/>
      <c r="B203" s="181"/>
      <c r="C203" s="181"/>
      <c r="D203" s="177"/>
      <c r="E203" s="177"/>
      <c r="F203" s="182"/>
      <c r="G203" s="182"/>
      <c r="H203" s="177"/>
      <c r="J203" s="177"/>
    </row>
    <row r="204" spans="1:12" s="176" customFormat="1">
      <c r="A204" s="181"/>
      <c r="B204" s="181"/>
      <c r="C204" s="181"/>
      <c r="D204" s="177"/>
      <c r="E204" s="177"/>
      <c r="F204" s="182"/>
      <c r="G204" s="182"/>
      <c r="H204" s="177"/>
      <c r="J204" s="177"/>
    </row>
    <row r="205" spans="1:12" s="176" customFormat="1">
      <c r="A205" s="181"/>
      <c r="B205" s="181"/>
      <c r="C205" s="181"/>
      <c r="D205" s="177"/>
      <c r="E205" s="177"/>
      <c r="F205" s="182"/>
      <c r="G205" s="182"/>
      <c r="H205" s="177"/>
      <c r="J205" s="177"/>
    </row>
    <row r="206" spans="1:12" s="176" customFormat="1">
      <c r="A206" s="181"/>
      <c r="B206" s="181"/>
      <c r="C206" s="181"/>
      <c r="D206" s="177"/>
      <c r="E206" s="177"/>
      <c r="F206" s="182"/>
      <c r="G206" s="182"/>
      <c r="H206" s="177"/>
      <c r="J206" s="177"/>
    </row>
    <row r="207" spans="1:12" s="176" customFormat="1">
      <c r="A207" s="181"/>
      <c r="B207" s="181"/>
      <c r="C207" s="181"/>
      <c r="D207" s="177"/>
      <c r="E207" s="177"/>
      <c r="F207" s="182"/>
      <c r="G207" s="182"/>
      <c r="H207" s="177"/>
      <c r="J207" s="177"/>
    </row>
    <row r="208" spans="1:12" s="176" customFormat="1">
      <c r="A208" s="181"/>
      <c r="B208" s="181"/>
      <c r="C208" s="181"/>
      <c r="D208" s="177"/>
      <c r="E208" s="177"/>
      <c r="F208" s="182"/>
      <c r="G208" s="182"/>
      <c r="H208" s="177"/>
      <c r="J208" s="177"/>
    </row>
    <row r="209" spans="1:10" s="176" customFormat="1">
      <c r="A209" s="181"/>
      <c r="B209" s="181"/>
      <c r="C209" s="181"/>
      <c r="D209" s="177"/>
      <c r="E209" s="177"/>
      <c r="F209" s="182"/>
      <c r="G209" s="182"/>
      <c r="H209" s="177"/>
      <c r="J209" s="177"/>
    </row>
    <row r="210" spans="1:10" s="176" customFormat="1">
      <c r="A210" s="181"/>
      <c r="B210" s="181"/>
      <c r="C210" s="181"/>
      <c r="D210" s="177"/>
      <c r="E210" s="177"/>
      <c r="F210" s="182"/>
      <c r="G210" s="182"/>
      <c r="H210" s="177"/>
      <c r="J210" s="177"/>
    </row>
    <row r="211" spans="1:10" s="176" customFormat="1">
      <c r="A211" s="181"/>
      <c r="B211" s="181"/>
      <c r="C211" s="181"/>
      <c r="D211" s="177"/>
      <c r="E211" s="177"/>
      <c r="F211" s="182"/>
      <c r="G211" s="182"/>
      <c r="H211" s="177"/>
      <c r="J211" s="177"/>
    </row>
    <row r="212" spans="1:10" s="176" customFormat="1">
      <c r="A212" s="181"/>
      <c r="B212" s="181"/>
      <c r="C212" s="181"/>
      <c r="D212" s="177"/>
      <c r="E212" s="177"/>
      <c r="F212" s="182"/>
      <c r="G212" s="182"/>
      <c r="H212" s="177"/>
      <c r="J212" s="177"/>
    </row>
    <row r="213" spans="1:10" s="176" customFormat="1">
      <c r="A213" s="181"/>
      <c r="B213" s="181"/>
      <c r="C213" s="181"/>
      <c r="D213" s="177"/>
      <c r="E213" s="177"/>
      <c r="F213" s="182"/>
      <c r="G213" s="182"/>
      <c r="H213" s="177"/>
      <c r="J213" s="177"/>
    </row>
    <row r="214" spans="1:10" s="176" customFormat="1">
      <c r="A214" s="181"/>
      <c r="B214" s="181"/>
      <c r="C214" s="181"/>
      <c r="D214" s="177"/>
      <c r="E214" s="177"/>
      <c r="F214" s="182"/>
      <c r="G214" s="182"/>
      <c r="H214" s="177"/>
      <c r="J214" s="177"/>
    </row>
    <row r="215" spans="1:10" s="176" customFormat="1">
      <c r="A215" s="181"/>
      <c r="B215" s="181"/>
      <c r="C215" s="181"/>
      <c r="D215" s="177"/>
      <c r="E215" s="177"/>
      <c r="F215" s="182"/>
      <c r="G215" s="182"/>
      <c r="H215" s="177"/>
      <c r="J215" s="177"/>
    </row>
    <row r="216" spans="1:10" s="176" customFormat="1">
      <c r="A216" s="181"/>
      <c r="B216" s="181"/>
      <c r="C216" s="181"/>
      <c r="D216" s="177"/>
      <c r="E216" s="177"/>
      <c r="F216" s="182"/>
      <c r="G216" s="182"/>
      <c r="H216" s="177"/>
      <c r="J216" s="177"/>
    </row>
    <row r="217" spans="1:10" s="176" customFormat="1">
      <c r="A217" s="181"/>
      <c r="B217" s="181"/>
      <c r="C217" s="181"/>
      <c r="D217" s="177"/>
      <c r="E217" s="177"/>
      <c r="F217" s="182"/>
      <c r="G217" s="182"/>
      <c r="H217" s="177"/>
      <c r="J217" s="177"/>
    </row>
    <row r="218" spans="1:10" s="176" customFormat="1">
      <c r="A218" s="181"/>
      <c r="B218" s="181"/>
      <c r="C218" s="181"/>
      <c r="D218" s="177"/>
      <c r="E218" s="177"/>
      <c r="F218" s="182"/>
      <c r="G218" s="182"/>
      <c r="H218" s="177"/>
      <c r="J218" s="177"/>
    </row>
    <row r="219" spans="1:10" s="176" customFormat="1">
      <c r="A219" s="181"/>
      <c r="B219" s="181"/>
      <c r="C219" s="181"/>
      <c r="D219" s="177"/>
      <c r="E219" s="177"/>
      <c r="F219" s="182"/>
      <c r="G219" s="182"/>
      <c r="H219" s="177"/>
      <c r="J219" s="177"/>
    </row>
    <row r="220" spans="1:10" s="176" customFormat="1">
      <c r="A220" s="181"/>
      <c r="B220" s="181"/>
      <c r="C220" s="181"/>
      <c r="D220" s="177"/>
      <c r="E220" s="177"/>
      <c r="F220" s="182"/>
      <c r="G220" s="182"/>
      <c r="H220" s="177"/>
      <c r="J220" s="177"/>
    </row>
    <row r="221" spans="1:10" s="176" customFormat="1">
      <c r="A221" s="181"/>
      <c r="B221" s="181"/>
      <c r="C221" s="181"/>
      <c r="D221" s="177"/>
      <c r="E221" s="177"/>
      <c r="F221" s="182"/>
      <c r="G221" s="182"/>
      <c r="H221" s="177"/>
      <c r="J221" s="177"/>
    </row>
    <row r="222" spans="1:10" s="176" customFormat="1">
      <c r="A222" s="181"/>
      <c r="B222" s="181"/>
      <c r="C222" s="181"/>
      <c r="D222" s="177"/>
      <c r="E222" s="177"/>
      <c r="F222" s="182"/>
      <c r="G222" s="182"/>
      <c r="H222" s="177"/>
      <c r="J222" s="177"/>
    </row>
    <row r="223" spans="1:10" s="176" customFormat="1">
      <c r="A223" s="181"/>
      <c r="B223" s="181"/>
      <c r="C223" s="181"/>
      <c r="D223" s="177"/>
      <c r="E223" s="177"/>
      <c r="F223" s="182"/>
      <c r="G223" s="182"/>
      <c r="H223" s="177"/>
      <c r="J223" s="177"/>
    </row>
    <row r="224" spans="1:10" s="176" customFormat="1">
      <c r="A224" s="181"/>
      <c r="B224" s="181"/>
      <c r="C224" s="181"/>
      <c r="D224" s="177"/>
      <c r="E224" s="177"/>
      <c r="F224" s="182"/>
      <c r="G224" s="182"/>
      <c r="H224" s="177"/>
      <c r="J224" s="177"/>
    </row>
    <row r="225" spans="1:10" s="176" customFormat="1">
      <c r="A225" s="181"/>
      <c r="B225" s="181"/>
      <c r="C225" s="181"/>
      <c r="D225" s="177"/>
      <c r="E225" s="177"/>
      <c r="F225" s="182"/>
      <c r="G225" s="182"/>
      <c r="H225" s="177"/>
      <c r="J225" s="177"/>
    </row>
    <row r="226" spans="1:10" s="176" customFormat="1">
      <c r="A226" s="181"/>
      <c r="B226" s="181"/>
      <c r="C226" s="181"/>
      <c r="D226" s="177"/>
      <c r="E226" s="177"/>
      <c r="F226" s="182"/>
      <c r="G226" s="182"/>
      <c r="H226" s="177"/>
      <c r="J226" s="177"/>
    </row>
    <row r="227" spans="1:10" s="176" customFormat="1">
      <c r="A227" s="181"/>
      <c r="B227" s="181"/>
      <c r="C227" s="181"/>
      <c r="D227" s="177"/>
      <c r="E227" s="177"/>
      <c r="F227" s="182"/>
      <c r="G227" s="182"/>
      <c r="H227" s="177"/>
      <c r="J227" s="177"/>
    </row>
    <row r="228" spans="1:10" s="176" customFormat="1">
      <c r="A228" s="181"/>
      <c r="B228" s="181"/>
      <c r="C228" s="181"/>
      <c r="D228" s="177"/>
      <c r="E228" s="177"/>
      <c r="F228" s="182"/>
      <c r="G228" s="182"/>
      <c r="H228" s="177"/>
      <c r="J228" s="177"/>
    </row>
    <row r="229" spans="1:10" s="176" customFormat="1">
      <c r="A229" s="181"/>
      <c r="B229" s="181"/>
      <c r="C229" s="181"/>
      <c r="D229" s="177"/>
      <c r="E229" s="177"/>
      <c r="F229" s="182"/>
      <c r="G229" s="182"/>
      <c r="H229" s="177"/>
      <c r="J229" s="177"/>
    </row>
    <row r="230" spans="1:10" s="176" customFormat="1">
      <c r="A230" s="181"/>
      <c r="B230" s="181"/>
      <c r="C230" s="181"/>
      <c r="D230" s="177"/>
      <c r="E230" s="177"/>
      <c r="F230" s="182"/>
      <c r="G230" s="182"/>
      <c r="H230" s="177"/>
      <c r="J230" s="177"/>
    </row>
    <row r="231" spans="1:10" s="176" customFormat="1">
      <c r="A231" s="181"/>
      <c r="B231" s="181"/>
      <c r="C231" s="181"/>
      <c r="D231" s="177"/>
      <c r="E231" s="177"/>
      <c r="F231" s="182"/>
      <c r="G231" s="182"/>
      <c r="H231" s="177"/>
      <c r="J231" s="177"/>
    </row>
    <row r="232" spans="1:10" s="176" customFormat="1">
      <c r="A232" s="181"/>
      <c r="B232" s="181"/>
      <c r="C232" s="181"/>
      <c r="D232" s="177"/>
      <c r="E232" s="177"/>
      <c r="F232" s="182"/>
      <c r="G232" s="182"/>
      <c r="H232" s="177"/>
      <c r="J232" s="177"/>
    </row>
    <row r="233" spans="1:10" s="176" customFormat="1">
      <c r="A233" s="181"/>
      <c r="B233" s="181"/>
      <c r="C233" s="181"/>
      <c r="D233" s="177"/>
      <c r="E233" s="177"/>
      <c r="F233" s="182"/>
      <c r="G233" s="182"/>
      <c r="H233" s="177"/>
      <c r="J233" s="177"/>
    </row>
    <row r="234" spans="1:10" s="176" customFormat="1">
      <c r="A234" s="181"/>
      <c r="B234" s="181"/>
      <c r="C234" s="181"/>
      <c r="D234" s="177"/>
      <c r="E234" s="177"/>
      <c r="F234" s="182"/>
      <c r="G234" s="182"/>
      <c r="H234" s="177"/>
      <c r="J234" s="177"/>
    </row>
    <row r="235" spans="1:10" s="176" customFormat="1">
      <c r="A235" s="181"/>
      <c r="B235" s="181"/>
      <c r="C235" s="181"/>
      <c r="D235" s="177"/>
      <c r="E235" s="177"/>
      <c r="F235" s="182"/>
      <c r="G235" s="182"/>
      <c r="H235" s="177"/>
      <c r="J235" s="177"/>
    </row>
    <row r="236" spans="1:10" s="176" customFormat="1">
      <c r="A236" s="181"/>
      <c r="B236" s="181"/>
      <c r="C236" s="181"/>
      <c r="D236" s="177"/>
      <c r="E236" s="177"/>
      <c r="F236" s="182"/>
      <c r="G236" s="182"/>
      <c r="H236" s="177"/>
      <c r="J236" s="177"/>
    </row>
    <row r="237" spans="1:10" s="176" customFormat="1">
      <c r="A237" s="181"/>
      <c r="B237" s="181"/>
      <c r="C237" s="181"/>
      <c r="D237" s="177"/>
      <c r="E237" s="177"/>
      <c r="F237" s="182"/>
      <c r="G237" s="182"/>
      <c r="H237" s="177"/>
      <c r="J237" s="177"/>
    </row>
    <row r="238" spans="1:10" s="176" customFormat="1">
      <c r="A238" s="181"/>
      <c r="B238" s="181"/>
      <c r="C238" s="181"/>
      <c r="D238" s="177"/>
      <c r="E238" s="177"/>
      <c r="F238" s="182"/>
      <c r="G238" s="182"/>
      <c r="H238" s="177"/>
      <c r="J238" s="177"/>
    </row>
    <row r="239" spans="1:10" s="176" customFormat="1">
      <c r="A239" s="181"/>
      <c r="B239" s="181"/>
      <c r="C239" s="181"/>
      <c r="D239" s="177"/>
      <c r="E239" s="177"/>
      <c r="F239" s="182"/>
      <c r="G239" s="182"/>
      <c r="H239" s="177"/>
      <c r="J239" s="177"/>
    </row>
    <row r="240" spans="1:10" s="176" customFormat="1">
      <c r="A240" s="181"/>
      <c r="B240" s="181"/>
      <c r="C240" s="181"/>
      <c r="D240" s="177"/>
      <c r="E240" s="177"/>
      <c r="F240" s="182"/>
      <c r="G240" s="182"/>
      <c r="H240" s="177"/>
      <c r="J240" s="177"/>
    </row>
    <row r="241" spans="1:10" s="176" customFormat="1">
      <c r="A241" s="181"/>
      <c r="B241" s="181"/>
      <c r="C241" s="181"/>
      <c r="D241" s="177"/>
      <c r="E241" s="177"/>
      <c r="F241" s="182"/>
      <c r="G241" s="182"/>
      <c r="H241" s="177"/>
      <c r="J241" s="177"/>
    </row>
    <row r="242" spans="1:10" s="176" customFormat="1">
      <c r="A242" s="181"/>
      <c r="B242" s="181"/>
      <c r="C242" s="181"/>
      <c r="D242" s="177"/>
      <c r="E242" s="177"/>
      <c r="F242" s="182"/>
      <c r="G242" s="182"/>
      <c r="H242" s="177"/>
      <c r="J242" s="177"/>
    </row>
    <row r="243" spans="1:10" s="176" customFormat="1">
      <c r="A243" s="181"/>
      <c r="B243" s="181"/>
      <c r="C243" s="181"/>
      <c r="D243" s="177"/>
      <c r="E243" s="177"/>
      <c r="F243" s="182"/>
      <c r="G243" s="182"/>
      <c r="H243" s="177"/>
      <c r="J243" s="177"/>
    </row>
    <row r="244" spans="1:10" s="176" customFormat="1">
      <c r="A244" s="181"/>
      <c r="B244" s="181"/>
      <c r="C244" s="181"/>
      <c r="D244" s="177"/>
      <c r="E244" s="177"/>
      <c r="F244" s="182"/>
      <c r="G244" s="182"/>
      <c r="H244" s="177"/>
      <c r="J244" s="177"/>
    </row>
    <row r="245" spans="1:10" s="176" customFormat="1">
      <c r="A245" s="181"/>
      <c r="B245" s="181"/>
      <c r="C245" s="181"/>
      <c r="D245" s="177"/>
      <c r="E245" s="177"/>
      <c r="F245" s="182"/>
      <c r="G245" s="182"/>
      <c r="H245" s="177"/>
      <c r="J245" s="177"/>
    </row>
    <row r="246" spans="1:10" s="176" customFormat="1">
      <c r="A246" s="181"/>
      <c r="B246" s="181"/>
      <c r="C246" s="181"/>
      <c r="D246" s="177"/>
      <c r="E246" s="177"/>
      <c r="F246" s="182"/>
      <c r="G246" s="182"/>
      <c r="H246" s="177"/>
      <c r="J246" s="177"/>
    </row>
    <row r="247" spans="1:10" s="176" customFormat="1">
      <c r="A247" s="181"/>
      <c r="B247" s="181"/>
      <c r="C247" s="181"/>
      <c r="D247" s="177"/>
      <c r="E247" s="177"/>
      <c r="F247" s="182"/>
      <c r="G247" s="182"/>
      <c r="H247" s="177"/>
      <c r="J247" s="177"/>
    </row>
    <row r="248" spans="1:10" s="176" customFormat="1">
      <c r="A248" s="181"/>
      <c r="B248" s="181"/>
      <c r="C248" s="181"/>
      <c r="D248" s="177"/>
      <c r="E248" s="177"/>
      <c r="F248" s="182"/>
      <c r="G248" s="182"/>
      <c r="H248" s="177"/>
      <c r="J248" s="177"/>
    </row>
    <row r="249" spans="1:10" s="176" customFormat="1">
      <c r="A249" s="181"/>
      <c r="B249" s="181"/>
      <c r="C249" s="181"/>
      <c r="D249" s="177"/>
      <c r="E249" s="177"/>
      <c r="F249" s="182"/>
      <c r="G249" s="182"/>
      <c r="H249" s="177"/>
      <c r="J249" s="177"/>
    </row>
    <row r="250" spans="1:10" s="176" customFormat="1">
      <c r="A250" s="181"/>
      <c r="B250" s="181"/>
      <c r="C250" s="181"/>
      <c r="D250" s="177"/>
      <c r="E250" s="177"/>
      <c r="F250" s="182"/>
      <c r="G250" s="182"/>
      <c r="H250" s="177"/>
      <c r="J250" s="177"/>
    </row>
    <row r="251" spans="1:10" s="176" customFormat="1">
      <c r="A251" s="181"/>
      <c r="B251" s="181"/>
      <c r="C251" s="181"/>
      <c r="D251" s="177"/>
      <c r="E251" s="177"/>
      <c r="F251" s="182"/>
      <c r="G251" s="182"/>
      <c r="H251" s="177"/>
      <c r="J251" s="177"/>
    </row>
    <row r="252" spans="1:10" s="176" customFormat="1">
      <c r="A252" s="181"/>
      <c r="B252" s="181"/>
      <c r="C252" s="181"/>
      <c r="D252" s="177"/>
      <c r="E252" s="177"/>
      <c r="F252" s="182"/>
      <c r="G252" s="182"/>
      <c r="H252" s="177"/>
      <c r="J252" s="177"/>
    </row>
    <row r="253" spans="1:10" s="176" customFormat="1">
      <c r="A253" s="181"/>
      <c r="B253" s="181"/>
      <c r="C253" s="181"/>
      <c r="D253" s="177"/>
      <c r="E253" s="177"/>
      <c r="F253" s="182"/>
      <c r="G253" s="182"/>
      <c r="H253" s="177"/>
      <c r="J253" s="177"/>
    </row>
    <row r="254" spans="1:10" s="176" customFormat="1">
      <c r="A254" s="181"/>
      <c r="B254" s="181"/>
      <c r="C254" s="181"/>
      <c r="D254" s="177"/>
      <c r="E254" s="177"/>
      <c r="F254" s="182"/>
      <c r="G254" s="182"/>
      <c r="H254" s="177"/>
      <c r="J254" s="177"/>
    </row>
    <row r="255" spans="1:10" s="176" customFormat="1">
      <c r="A255" s="181"/>
      <c r="B255" s="181"/>
      <c r="C255" s="181"/>
      <c r="D255" s="177"/>
      <c r="E255" s="177"/>
      <c r="F255" s="182"/>
      <c r="G255" s="182"/>
      <c r="H255" s="177"/>
      <c r="J255" s="177"/>
    </row>
    <row r="256" spans="1:10" s="176" customFormat="1">
      <c r="A256" s="181"/>
      <c r="B256" s="181"/>
      <c r="C256" s="181"/>
      <c r="D256" s="177"/>
      <c r="E256" s="177"/>
      <c r="F256" s="182"/>
      <c r="G256" s="182"/>
      <c r="H256" s="177"/>
      <c r="J256" s="177"/>
    </row>
    <row r="257" spans="1:10" s="176" customFormat="1">
      <c r="A257" s="181"/>
      <c r="B257" s="181"/>
      <c r="C257" s="181"/>
      <c r="D257" s="177"/>
      <c r="E257" s="177"/>
      <c r="F257" s="182"/>
      <c r="G257" s="182"/>
      <c r="H257" s="177"/>
      <c r="J257" s="177"/>
    </row>
    <row r="258" spans="1:10" s="176" customFormat="1">
      <c r="A258" s="181"/>
      <c r="B258" s="181"/>
      <c r="C258" s="181"/>
      <c r="D258" s="177"/>
      <c r="E258" s="177"/>
      <c r="F258" s="182"/>
      <c r="G258" s="182"/>
      <c r="H258" s="177"/>
      <c r="J258" s="177"/>
    </row>
    <row r="259" spans="1:10" s="176" customFormat="1">
      <c r="A259" s="181"/>
      <c r="B259" s="181"/>
      <c r="C259" s="181"/>
      <c r="D259" s="177"/>
      <c r="E259" s="177"/>
      <c r="F259" s="182"/>
      <c r="G259" s="182"/>
      <c r="H259" s="177"/>
      <c r="J259" s="177"/>
    </row>
    <row r="260" spans="1:10" s="176" customFormat="1">
      <c r="A260" s="181"/>
      <c r="B260" s="181"/>
      <c r="C260" s="181"/>
      <c r="D260" s="177"/>
      <c r="E260" s="177"/>
      <c r="F260" s="182"/>
      <c r="G260" s="182"/>
      <c r="H260" s="177"/>
      <c r="J260" s="177"/>
    </row>
    <row r="261" spans="1:10" s="176" customFormat="1">
      <c r="A261" s="181"/>
      <c r="B261" s="181"/>
      <c r="C261" s="181"/>
      <c r="D261" s="177"/>
      <c r="E261" s="177"/>
      <c r="F261" s="182"/>
      <c r="G261" s="182"/>
      <c r="H261" s="177"/>
      <c r="J261" s="177"/>
    </row>
    <row r="262" spans="1:10" s="176" customFormat="1">
      <c r="A262" s="181"/>
      <c r="B262" s="181"/>
      <c r="C262" s="181"/>
      <c r="D262" s="177"/>
      <c r="E262" s="177"/>
      <c r="F262" s="182"/>
      <c r="G262" s="182"/>
      <c r="H262" s="177"/>
      <c r="J262" s="177"/>
    </row>
    <row r="263" spans="1:10" s="176" customFormat="1">
      <c r="A263" s="181"/>
      <c r="B263" s="181"/>
      <c r="C263" s="181"/>
      <c r="D263" s="177"/>
      <c r="E263" s="177"/>
      <c r="F263" s="182"/>
      <c r="G263" s="182"/>
      <c r="H263" s="177"/>
      <c r="J263" s="177"/>
    </row>
    <row r="264" spans="1:10" s="176" customFormat="1">
      <c r="A264" s="181"/>
      <c r="B264" s="181"/>
      <c r="C264" s="181"/>
      <c r="D264" s="177"/>
      <c r="E264" s="177"/>
      <c r="F264" s="182"/>
      <c r="G264" s="182"/>
      <c r="H264" s="177"/>
      <c r="J264" s="177"/>
    </row>
    <row r="265" spans="1:10" s="176" customFormat="1">
      <c r="A265" s="181"/>
      <c r="B265" s="181"/>
      <c r="C265" s="181"/>
      <c r="D265" s="177"/>
      <c r="E265" s="177"/>
      <c r="F265" s="182"/>
      <c r="G265" s="182"/>
      <c r="H265" s="177"/>
      <c r="J265" s="177"/>
    </row>
    <row r="266" spans="1:10" s="176" customFormat="1">
      <c r="A266" s="181"/>
      <c r="B266" s="181"/>
      <c r="C266" s="181"/>
      <c r="D266" s="177"/>
      <c r="E266" s="177"/>
      <c r="F266" s="182"/>
      <c r="G266" s="182"/>
      <c r="H266" s="177"/>
      <c r="J266" s="177"/>
    </row>
    <row r="267" spans="1:10" s="176" customFormat="1">
      <c r="A267" s="181"/>
      <c r="B267" s="181"/>
      <c r="C267" s="181"/>
      <c r="D267" s="177"/>
      <c r="E267" s="177"/>
      <c r="F267" s="182"/>
      <c r="G267" s="182"/>
      <c r="H267" s="177"/>
      <c r="J267" s="177"/>
    </row>
    <row r="268" spans="1:10" s="176" customFormat="1">
      <c r="A268" s="181"/>
      <c r="B268" s="181"/>
      <c r="C268" s="181"/>
      <c r="D268" s="177"/>
      <c r="E268" s="177"/>
      <c r="F268" s="182"/>
      <c r="G268" s="182"/>
      <c r="H268" s="177"/>
      <c r="J268" s="177"/>
    </row>
    <row r="269" spans="1:10" s="176" customFormat="1">
      <c r="A269" s="181"/>
      <c r="B269" s="181"/>
      <c r="C269" s="181"/>
      <c r="D269" s="177"/>
      <c r="E269" s="177"/>
      <c r="F269" s="182"/>
      <c r="G269" s="182"/>
      <c r="H269" s="177"/>
      <c r="J269" s="177"/>
    </row>
    <row r="270" spans="1:10" s="176" customFormat="1">
      <c r="A270" s="181"/>
      <c r="B270" s="181"/>
      <c r="C270" s="181"/>
      <c r="D270" s="177"/>
      <c r="E270" s="177"/>
      <c r="F270" s="182"/>
      <c r="G270" s="182"/>
      <c r="H270" s="177"/>
      <c r="J270" s="177"/>
    </row>
    <row r="271" spans="1:10" s="176" customFormat="1">
      <c r="A271" s="181"/>
      <c r="B271" s="181"/>
      <c r="C271" s="181"/>
      <c r="D271" s="177"/>
      <c r="E271" s="177"/>
      <c r="F271" s="182"/>
      <c r="G271" s="182"/>
      <c r="H271" s="177"/>
      <c r="J271" s="177"/>
    </row>
    <row r="272" spans="1:10" s="176" customFormat="1">
      <c r="A272" s="181"/>
      <c r="B272" s="181"/>
      <c r="C272" s="181"/>
      <c r="D272" s="177"/>
      <c r="E272" s="177"/>
      <c r="F272" s="182"/>
      <c r="G272" s="182"/>
      <c r="H272" s="177"/>
      <c r="J272" s="177"/>
    </row>
    <row r="273" spans="1:10" s="176" customFormat="1">
      <c r="A273" s="181"/>
      <c r="B273" s="181"/>
      <c r="C273" s="181"/>
      <c r="D273" s="177"/>
      <c r="E273" s="177"/>
      <c r="F273" s="182"/>
      <c r="G273" s="182"/>
      <c r="H273" s="177"/>
      <c r="J273" s="177"/>
    </row>
    <row r="274" spans="1:10" s="176" customFormat="1">
      <c r="A274" s="181"/>
      <c r="B274" s="181"/>
      <c r="C274" s="181"/>
      <c r="D274" s="177"/>
      <c r="E274" s="177"/>
      <c r="F274" s="182"/>
      <c r="G274" s="182"/>
      <c r="H274" s="177"/>
      <c r="J274" s="177"/>
    </row>
    <row r="275" spans="1:10" s="176" customFormat="1">
      <c r="A275" s="181"/>
      <c r="B275" s="181"/>
      <c r="C275" s="181"/>
      <c r="D275" s="177"/>
      <c r="E275" s="177"/>
      <c r="F275" s="182"/>
      <c r="G275" s="182"/>
      <c r="H275" s="177"/>
      <c r="J275" s="177"/>
    </row>
    <row r="276" spans="1:10" s="176" customFormat="1">
      <c r="A276" s="181"/>
      <c r="B276" s="181"/>
      <c r="C276" s="181"/>
      <c r="D276" s="177"/>
      <c r="E276" s="177"/>
      <c r="F276" s="182"/>
      <c r="G276" s="182"/>
      <c r="H276" s="177"/>
      <c r="J276" s="177"/>
    </row>
    <row r="277" spans="1:10" s="176" customFormat="1">
      <c r="A277" s="181"/>
      <c r="B277" s="181"/>
      <c r="C277" s="181"/>
      <c r="D277" s="177"/>
      <c r="E277" s="177"/>
      <c r="F277" s="182"/>
      <c r="G277" s="182"/>
      <c r="H277" s="177"/>
      <c r="J277" s="177"/>
    </row>
    <row r="278" spans="1:10" s="176" customFormat="1">
      <c r="A278" s="181"/>
      <c r="B278" s="181"/>
      <c r="C278" s="181"/>
      <c r="D278" s="177"/>
      <c r="E278" s="177"/>
      <c r="F278" s="182"/>
      <c r="G278" s="182"/>
      <c r="H278" s="177"/>
      <c r="J278" s="177"/>
    </row>
    <row r="279" spans="1:10" s="176" customFormat="1">
      <c r="A279" s="181"/>
      <c r="B279" s="181"/>
      <c r="C279" s="181"/>
      <c r="D279" s="177"/>
      <c r="E279" s="177"/>
      <c r="F279" s="182"/>
      <c r="G279" s="182"/>
      <c r="H279" s="177"/>
      <c r="J279" s="177"/>
    </row>
    <row r="280" spans="1:10" s="176" customFormat="1">
      <c r="A280" s="181"/>
      <c r="B280" s="181"/>
      <c r="C280" s="181"/>
      <c r="D280" s="177"/>
      <c r="E280" s="177"/>
      <c r="F280" s="182"/>
      <c r="G280" s="182"/>
      <c r="H280" s="177"/>
      <c r="J280" s="177"/>
    </row>
    <row r="281" spans="1:10" s="176" customFormat="1">
      <c r="A281" s="181"/>
      <c r="B281" s="181"/>
      <c r="C281" s="181"/>
      <c r="D281" s="177"/>
      <c r="E281" s="177"/>
      <c r="F281" s="182"/>
      <c r="G281" s="182"/>
      <c r="H281" s="177"/>
      <c r="J281" s="177"/>
    </row>
    <row r="282" spans="1:10" s="176" customFormat="1">
      <c r="A282" s="181"/>
      <c r="B282" s="181"/>
      <c r="C282" s="181"/>
      <c r="D282" s="177"/>
      <c r="E282" s="177"/>
      <c r="F282" s="182"/>
      <c r="G282" s="182"/>
      <c r="H282" s="177"/>
      <c r="J282" s="177"/>
    </row>
    <row r="283" spans="1:10" s="176" customFormat="1">
      <c r="A283" s="181"/>
      <c r="B283" s="181"/>
      <c r="C283" s="181"/>
      <c r="D283" s="177"/>
      <c r="E283" s="177"/>
      <c r="F283" s="182"/>
      <c r="G283" s="182"/>
      <c r="H283" s="177"/>
      <c r="J283" s="177"/>
    </row>
    <row r="284" spans="1:10" s="176" customFormat="1">
      <c r="A284" s="181"/>
      <c r="B284" s="181"/>
      <c r="C284" s="181"/>
      <c r="D284" s="177"/>
      <c r="E284" s="177"/>
      <c r="F284" s="182"/>
      <c r="G284" s="182"/>
      <c r="H284" s="177"/>
      <c r="J284" s="177"/>
    </row>
    <row r="285" spans="1:10" s="176" customFormat="1">
      <c r="A285" s="181"/>
      <c r="B285" s="181"/>
      <c r="C285" s="181"/>
      <c r="D285" s="177"/>
      <c r="E285" s="177"/>
      <c r="F285" s="182"/>
      <c r="G285" s="182"/>
      <c r="H285" s="177"/>
      <c r="J285" s="177"/>
    </row>
    <row r="286" spans="1:10" s="176" customFormat="1">
      <c r="A286" s="181"/>
      <c r="B286" s="181"/>
      <c r="C286" s="181"/>
      <c r="D286" s="177"/>
      <c r="E286" s="177"/>
      <c r="F286" s="182"/>
      <c r="G286" s="182"/>
      <c r="H286" s="177"/>
      <c r="J286" s="177"/>
    </row>
    <row r="287" spans="1:10" s="176" customFormat="1">
      <c r="A287" s="181"/>
      <c r="B287" s="181"/>
      <c r="C287" s="181"/>
      <c r="D287" s="177"/>
      <c r="E287" s="177"/>
      <c r="F287" s="182"/>
      <c r="G287" s="182"/>
      <c r="H287" s="177"/>
      <c r="J287" s="177"/>
    </row>
    <row r="288" spans="1:10">
      <c r="D288" s="152"/>
      <c r="E288" s="152"/>
      <c r="H288" s="152"/>
      <c r="J288" s="152"/>
    </row>
    <row r="289" spans="4:10">
      <c r="D289" s="152"/>
      <c r="E289" s="152"/>
      <c r="H289" s="152"/>
      <c r="J289" s="152"/>
    </row>
    <row r="290" spans="4:10">
      <c r="D290" s="152"/>
      <c r="E290" s="152"/>
      <c r="H290" s="152"/>
      <c r="J290" s="152"/>
    </row>
    <row r="291" spans="4:10">
      <c r="D291" s="152"/>
      <c r="E291" s="152"/>
      <c r="H291" s="152"/>
      <c r="J291" s="152"/>
    </row>
    <row r="292" spans="4:10">
      <c r="D292" s="152"/>
      <c r="E292" s="152"/>
      <c r="H292" s="152"/>
      <c r="J292" s="152"/>
    </row>
    <row r="293" spans="4:10">
      <c r="D293" s="152"/>
      <c r="E293" s="152"/>
      <c r="H293" s="152"/>
      <c r="J293" s="152"/>
    </row>
    <row r="294" spans="4:10">
      <c r="D294" s="152"/>
      <c r="E294" s="152"/>
      <c r="H294" s="152"/>
      <c r="J294" s="152"/>
    </row>
    <row r="295" spans="4:10">
      <c r="D295" s="152"/>
      <c r="E295" s="152"/>
      <c r="H295" s="152"/>
      <c r="J295" s="152"/>
    </row>
    <row r="296" spans="4:10">
      <c r="D296" s="152"/>
      <c r="E296" s="152"/>
      <c r="H296" s="152"/>
      <c r="J296" s="152"/>
    </row>
    <row r="297" spans="4:10">
      <c r="D297" s="152"/>
      <c r="E297" s="152"/>
      <c r="H297" s="152"/>
      <c r="J297" s="152"/>
    </row>
    <row r="298" spans="4:10">
      <c r="D298" s="152"/>
      <c r="E298" s="152"/>
      <c r="H298" s="152"/>
      <c r="J298" s="152"/>
    </row>
    <row r="299" spans="4:10">
      <c r="D299" s="152"/>
      <c r="E299" s="152"/>
      <c r="H299" s="152"/>
      <c r="J299" s="152"/>
    </row>
    <row r="300" spans="4:10">
      <c r="D300" s="152"/>
      <c r="E300" s="152"/>
      <c r="H300" s="152"/>
      <c r="J300" s="152"/>
    </row>
    <row r="301" spans="4:10">
      <c r="D301" s="152"/>
      <c r="E301" s="152"/>
      <c r="H301" s="152"/>
      <c r="J301" s="152"/>
    </row>
    <row r="302" spans="4:10">
      <c r="D302" s="152"/>
      <c r="E302" s="152"/>
      <c r="H302" s="152"/>
      <c r="J302" s="152"/>
    </row>
    <row r="303" spans="4:10">
      <c r="D303" s="152"/>
      <c r="E303" s="152"/>
      <c r="H303" s="152"/>
      <c r="J303" s="152"/>
    </row>
    <row r="304" spans="4:10">
      <c r="D304" s="152"/>
      <c r="E304" s="152"/>
      <c r="H304" s="152"/>
      <c r="J304" s="152"/>
    </row>
    <row r="305" spans="4:10">
      <c r="D305" s="152"/>
      <c r="E305" s="152"/>
      <c r="H305" s="152"/>
      <c r="J305" s="152"/>
    </row>
    <row r="306" spans="4:10">
      <c r="D306" s="152"/>
      <c r="E306" s="152"/>
      <c r="H306" s="152"/>
      <c r="J306" s="152"/>
    </row>
    <row r="307" spans="4:10">
      <c r="D307" s="152"/>
      <c r="E307" s="152"/>
      <c r="H307" s="152"/>
      <c r="J307" s="152"/>
    </row>
    <row r="308" spans="4:10">
      <c r="D308" s="152"/>
      <c r="E308" s="152"/>
      <c r="H308" s="152"/>
      <c r="J308" s="152"/>
    </row>
    <row r="309" spans="4:10">
      <c r="D309" s="152"/>
      <c r="E309" s="152"/>
      <c r="H309" s="152"/>
      <c r="J309" s="152"/>
    </row>
    <row r="310" spans="4:10">
      <c r="D310" s="152"/>
      <c r="E310" s="152"/>
      <c r="H310" s="152"/>
      <c r="J310" s="152"/>
    </row>
    <row r="311" spans="4:10">
      <c r="D311" s="152"/>
      <c r="E311" s="152"/>
      <c r="H311" s="152"/>
      <c r="J311" s="152"/>
    </row>
    <row r="312" spans="4:10">
      <c r="D312" s="152"/>
      <c r="E312" s="152"/>
      <c r="H312" s="152"/>
      <c r="J312" s="152"/>
    </row>
    <row r="313" spans="4:10">
      <c r="D313" s="152"/>
      <c r="E313" s="152"/>
      <c r="H313" s="152"/>
      <c r="J313" s="152"/>
    </row>
    <row r="314" spans="4:10">
      <c r="D314" s="152"/>
      <c r="E314" s="152"/>
      <c r="H314" s="152"/>
      <c r="J314" s="152"/>
    </row>
    <row r="315" spans="4:10">
      <c r="D315" s="152"/>
      <c r="E315" s="152"/>
      <c r="H315" s="152"/>
      <c r="J315" s="152"/>
    </row>
    <row r="316" spans="4:10">
      <c r="D316" s="152"/>
      <c r="E316" s="152"/>
      <c r="H316" s="152"/>
      <c r="J316" s="152"/>
    </row>
    <row r="317" spans="4:10">
      <c r="D317" s="152"/>
      <c r="E317" s="152"/>
      <c r="H317" s="152"/>
      <c r="J317" s="152"/>
    </row>
    <row r="318" spans="4:10">
      <c r="D318" s="152"/>
      <c r="E318" s="152"/>
      <c r="H318" s="152"/>
      <c r="J318" s="152"/>
    </row>
    <row r="319" spans="4:10">
      <c r="D319" s="152"/>
      <c r="E319" s="152"/>
      <c r="H319" s="152"/>
      <c r="J319" s="152"/>
    </row>
    <row r="320" spans="4:10">
      <c r="D320" s="152"/>
      <c r="E320" s="152"/>
      <c r="H320" s="152"/>
      <c r="J320" s="152"/>
    </row>
    <row r="321" spans="4:10">
      <c r="D321" s="152"/>
      <c r="E321" s="152"/>
      <c r="H321" s="152"/>
      <c r="J321" s="152"/>
    </row>
    <row r="322" spans="4:10">
      <c r="D322" s="152"/>
      <c r="E322" s="152"/>
      <c r="H322" s="152"/>
      <c r="J322" s="152"/>
    </row>
    <row r="323" spans="4:10">
      <c r="D323" s="152"/>
      <c r="E323" s="152"/>
      <c r="H323" s="152"/>
      <c r="J323" s="152"/>
    </row>
    <row r="324" spans="4:10">
      <c r="D324" s="152"/>
      <c r="E324" s="152"/>
      <c r="H324" s="152"/>
      <c r="J324" s="152"/>
    </row>
    <row r="325" spans="4:10">
      <c r="D325" s="152"/>
      <c r="E325" s="152"/>
      <c r="H325" s="152"/>
      <c r="J325" s="152"/>
    </row>
    <row r="326" spans="4:10">
      <c r="D326" s="152"/>
      <c r="E326" s="152"/>
      <c r="H326" s="152"/>
      <c r="J326" s="152"/>
    </row>
    <row r="327" spans="4:10">
      <c r="D327" s="152"/>
      <c r="E327" s="152"/>
      <c r="H327" s="152"/>
      <c r="J327" s="152"/>
    </row>
    <row r="328" spans="4:10">
      <c r="D328" s="152"/>
      <c r="E328" s="152"/>
      <c r="H328" s="152"/>
      <c r="J328" s="152"/>
    </row>
    <row r="329" spans="4:10">
      <c r="D329" s="152"/>
      <c r="E329" s="152"/>
      <c r="H329" s="152"/>
      <c r="J329" s="152"/>
    </row>
    <row r="330" spans="4:10">
      <c r="D330" s="152"/>
      <c r="E330" s="152"/>
      <c r="H330" s="152"/>
      <c r="J330" s="152"/>
    </row>
    <row r="331" spans="4:10">
      <c r="D331" s="152"/>
      <c r="E331" s="152"/>
      <c r="H331" s="152"/>
      <c r="J331" s="152"/>
    </row>
    <row r="332" spans="4:10">
      <c r="D332" s="152"/>
      <c r="E332" s="152"/>
      <c r="H332" s="152"/>
      <c r="J332" s="152"/>
    </row>
    <row r="333" spans="4:10">
      <c r="D333" s="152"/>
      <c r="E333" s="152"/>
      <c r="H333" s="152"/>
      <c r="J333" s="152"/>
    </row>
    <row r="334" spans="4:10">
      <c r="D334" s="152"/>
      <c r="E334" s="152"/>
      <c r="H334" s="152"/>
      <c r="J334" s="152"/>
    </row>
    <row r="335" spans="4:10">
      <c r="D335" s="152"/>
      <c r="E335" s="152"/>
      <c r="H335" s="152"/>
      <c r="J335" s="152"/>
    </row>
    <row r="336" spans="4:10">
      <c r="D336" s="152"/>
      <c r="E336" s="152"/>
      <c r="H336" s="152"/>
      <c r="J336" s="152"/>
    </row>
    <row r="337" spans="4:10">
      <c r="D337" s="152"/>
      <c r="E337" s="152"/>
      <c r="H337" s="152"/>
      <c r="J337" s="152"/>
    </row>
    <row r="338" spans="4:10">
      <c r="D338" s="152"/>
      <c r="E338" s="152"/>
      <c r="H338" s="152"/>
      <c r="J338" s="152"/>
    </row>
    <row r="339" spans="4:10">
      <c r="D339" s="152"/>
      <c r="E339" s="152"/>
      <c r="H339" s="152"/>
      <c r="J339" s="152"/>
    </row>
    <row r="340" spans="4:10">
      <c r="D340" s="152"/>
      <c r="E340" s="152"/>
      <c r="H340" s="152"/>
      <c r="J340" s="152"/>
    </row>
    <row r="341" spans="4:10">
      <c r="D341" s="152"/>
      <c r="E341" s="152"/>
      <c r="H341" s="152"/>
      <c r="J341" s="152"/>
    </row>
    <row r="342" spans="4:10">
      <c r="D342" s="152"/>
      <c r="E342" s="152"/>
      <c r="H342" s="152"/>
      <c r="J342" s="152"/>
    </row>
    <row r="343" spans="4:10">
      <c r="D343" s="152"/>
      <c r="E343" s="152"/>
      <c r="H343" s="152"/>
      <c r="J343" s="152"/>
    </row>
    <row r="344" spans="4:10">
      <c r="D344" s="152"/>
      <c r="E344" s="152"/>
      <c r="H344" s="152"/>
      <c r="J344" s="152"/>
    </row>
    <row r="345" spans="4:10">
      <c r="D345" s="152"/>
      <c r="E345" s="152"/>
      <c r="H345" s="152"/>
      <c r="J345" s="152"/>
    </row>
    <row r="346" spans="4:10">
      <c r="D346" s="152"/>
      <c r="E346" s="152"/>
      <c r="H346" s="152"/>
      <c r="J346" s="152"/>
    </row>
    <row r="347" spans="4:10">
      <c r="D347" s="152"/>
      <c r="E347" s="152"/>
      <c r="H347" s="152"/>
      <c r="J347" s="152"/>
    </row>
    <row r="348" spans="4:10">
      <c r="D348" s="152"/>
      <c r="E348" s="152"/>
      <c r="H348" s="152"/>
      <c r="J348" s="152"/>
    </row>
    <row r="349" spans="4:10">
      <c r="D349" s="152"/>
      <c r="E349" s="152"/>
      <c r="H349" s="152"/>
      <c r="J349" s="152"/>
    </row>
    <row r="350" spans="4:10">
      <c r="D350" s="152"/>
      <c r="E350" s="152"/>
      <c r="H350" s="152"/>
      <c r="J350" s="152"/>
    </row>
    <row r="351" spans="4:10">
      <c r="D351" s="152"/>
      <c r="E351" s="152"/>
      <c r="H351" s="152"/>
      <c r="J351" s="152"/>
    </row>
    <row r="352" spans="4:10">
      <c r="D352" s="152"/>
      <c r="E352" s="152"/>
      <c r="H352" s="152"/>
      <c r="J352" s="152"/>
    </row>
    <row r="353" spans="4:10">
      <c r="D353" s="152"/>
      <c r="E353" s="152"/>
      <c r="H353" s="152"/>
      <c r="J353" s="152"/>
    </row>
    <row r="354" spans="4:10">
      <c r="D354" s="152"/>
      <c r="E354" s="152"/>
      <c r="H354" s="152"/>
      <c r="J354" s="152"/>
    </row>
    <row r="355" spans="4:10">
      <c r="D355" s="152"/>
      <c r="E355" s="152"/>
      <c r="H355" s="152"/>
      <c r="J355" s="152"/>
    </row>
    <row r="356" spans="4:10">
      <c r="D356" s="152"/>
      <c r="E356" s="152"/>
      <c r="H356" s="152"/>
      <c r="J356" s="152"/>
    </row>
    <row r="357" spans="4:10">
      <c r="D357" s="152"/>
      <c r="E357" s="152"/>
      <c r="H357" s="152"/>
      <c r="J357" s="152"/>
    </row>
    <row r="358" spans="4:10">
      <c r="D358" s="152"/>
      <c r="E358" s="152"/>
      <c r="H358" s="152"/>
      <c r="J358" s="152"/>
    </row>
    <row r="359" spans="4:10">
      <c r="D359" s="152"/>
      <c r="E359" s="152"/>
      <c r="H359" s="152"/>
      <c r="J359" s="152"/>
    </row>
    <row r="360" spans="4:10">
      <c r="D360" s="152"/>
      <c r="E360" s="152"/>
      <c r="H360" s="152"/>
      <c r="J360" s="152"/>
    </row>
    <row r="361" spans="4:10">
      <c r="D361" s="152"/>
      <c r="E361" s="152"/>
      <c r="H361" s="152"/>
      <c r="J361" s="152"/>
    </row>
    <row r="362" spans="4:10">
      <c r="D362" s="152"/>
      <c r="E362" s="152"/>
      <c r="H362" s="152"/>
      <c r="J362" s="152"/>
    </row>
    <row r="363" spans="4:10">
      <c r="D363" s="152"/>
      <c r="E363" s="152"/>
      <c r="H363" s="152"/>
      <c r="J363" s="152"/>
    </row>
    <row r="364" spans="4:10">
      <c r="D364" s="152"/>
      <c r="E364" s="152"/>
      <c r="H364" s="152"/>
      <c r="J364" s="152"/>
    </row>
    <row r="365" spans="4:10">
      <c r="D365" s="152"/>
      <c r="E365" s="152"/>
      <c r="H365" s="152"/>
      <c r="J365" s="152"/>
    </row>
    <row r="366" spans="4:10">
      <c r="D366" s="152"/>
      <c r="E366" s="152"/>
      <c r="H366" s="152"/>
      <c r="J366" s="152"/>
    </row>
    <row r="367" spans="4:10">
      <c r="D367" s="152"/>
      <c r="E367" s="152"/>
      <c r="H367" s="152"/>
      <c r="J367" s="152"/>
    </row>
    <row r="368" spans="4:10">
      <c r="D368" s="152"/>
      <c r="E368" s="152"/>
      <c r="H368" s="152"/>
      <c r="J368" s="152"/>
    </row>
    <row r="369" spans="4:10">
      <c r="D369" s="152"/>
      <c r="E369" s="152"/>
      <c r="H369" s="152"/>
      <c r="J369" s="152"/>
    </row>
    <row r="370" spans="4:10">
      <c r="D370" s="152"/>
      <c r="E370" s="152"/>
      <c r="H370" s="152"/>
      <c r="J370" s="152"/>
    </row>
    <row r="371" spans="4:10">
      <c r="D371" s="152"/>
      <c r="E371" s="152"/>
      <c r="H371" s="152"/>
      <c r="J371" s="152"/>
    </row>
    <row r="372" spans="4:10">
      <c r="D372" s="152"/>
      <c r="E372" s="152"/>
      <c r="H372" s="152"/>
      <c r="J372" s="152"/>
    </row>
    <row r="373" spans="4:10">
      <c r="D373" s="152"/>
      <c r="E373" s="152"/>
      <c r="H373" s="152"/>
      <c r="J373" s="152"/>
    </row>
    <row r="374" spans="4:10">
      <c r="D374" s="152"/>
      <c r="E374" s="152"/>
      <c r="H374" s="152"/>
      <c r="J374" s="152"/>
    </row>
    <row r="375" spans="4:10">
      <c r="D375" s="152"/>
      <c r="E375" s="152"/>
      <c r="H375" s="152"/>
      <c r="J375" s="152"/>
    </row>
    <row r="376" spans="4:10">
      <c r="D376" s="152"/>
      <c r="E376" s="152"/>
      <c r="H376" s="152"/>
      <c r="J376" s="152"/>
    </row>
    <row r="377" spans="4:10">
      <c r="D377" s="152"/>
      <c r="E377" s="152"/>
      <c r="H377" s="152"/>
      <c r="J377" s="152"/>
    </row>
    <row r="378" spans="4:10">
      <c r="D378" s="152"/>
      <c r="E378" s="152"/>
      <c r="H378" s="152"/>
      <c r="J378" s="152"/>
    </row>
    <row r="379" spans="4:10">
      <c r="D379" s="152"/>
      <c r="E379" s="152"/>
      <c r="H379" s="152"/>
      <c r="J379" s="152"/>
    </row>
    <row r="380" spans="4:10">
      <c r="D380" s="152"/>
      <c r="E380" s="152"/>
      <c r="H380" s="152"/>
      <c r="J380" s="152"/>
    </row>
    <row r="381" spans="4:10">
      <c r="D381" s="152"/>
      <c r="E381" s="152"/>
      <c r="H381" s="152"/>
      <c r="J381" s="152"/>
    </row>
    <row r="382" spans="4:10">
      <c r="D382" s="152"/>
      <c r="E382" s="152"/>
      <c r="H382" s="152"/>
      <c r="J382" s="152"/>
    </row>
    <row r="383" spans="4:10">
      <c r="D383" s="152"/>
      <c r="E383" s="152"/>
      <c r="H383" s="152"/>
      <c r="J383" s="152"/>
    </row>
    <row r="384" spans="4:10">
      <c r="D384" s="152"/>
      <c r="E384" s="152"/>
      <c r="H384" s="152"/>
      <c r="J384" s="152"/>
    </row>
    <row r="385" spans="4:10">
      <c r="D385" s="152"/>
      <c r="E385" s="152"/>
      <c r="H385" s="152"/>
      <c r="J385" s="152"/>
    </row>
    <row r="386" spans="4:10">
      <c r="D386" s="152"/>
      <c r="E386" s="152"/>
      <c r="H386" s="152"/>
      <c r="J386" s="152"/>
    </row>
    <row r="387" spans="4:10">
      <c r="D387" s="152"/>
      <c r="E387" s="152"/>
      <c r="H387" s="152"/>
      <c r="J387" s="152"/>
    </row>
    <row r="388" spans="4:10">
      <c r="D388" s="152"/>
      <c r="E388" s="152"/>
      <c r="H388" s="152"/>
      <c r="J388" s="152"/>
    </row>
    <row r="389" spans="4:10">
      <c r="D389" s="152"/>
      <c r="E389" s="152"/>
      <c r="H389" s="152"/>
      <c r="J389" s="152"/>
    </row>
    <row r="390" spans="4:10">
      <c r="D390" s="152"/>
      <c r="E390" s="152"/>
      <c r="H390" s="152"/>
      <c r="J390" s="152"/>
    </row>
    <row r="391" spans="4:10">
      <c r="D391" s="152"/>
      <c r="E391" s="152"/>
      <c r="H391" s="152"/>
      <c r="J391" s="152"/>
    </row>
    <row r="392" spans="4:10">
      <c r="D392" s="152"/>
      <c r="E392" s="152"/>
      <c r="H392" s="152"/>
      <c r="J392" s="152"/>
    </row>
    <row r="393" spans="4:10">
      <c r="D393" s="152"/>
      <c r="E393" s="152"/>
      <c r="H393" s="152"/>
      <c r="J393" s="152"/>
    </row>
    <row r="394" spans="4:10">
      <c r="D394" s="152"/>
      <c r="E394" s="152"/>
      <c r="H394" s="152"/>
      <c r="J394" s="152"/>
    </row>
    <row r="395" spans="4:10">
      <c r="D395" s="152"/>
      <c r="E395" s="152"/>
      <c r="H395" s="152"/>
      <c r="J395" s="152"/>
    </row>
    <row r="396" spans="4:10">
      <c r="D396" s="152"/>
      <c r="E396" s="152"/>
      <c r="H396" s="152"/>
      <c r="J396" s="152"/>
    </row>
    <row r="397" spans="4:10">
      <c r="D397" s="152"/>
      <c r="E397" s="152"/>
      <c r="H397" s="152"/>
      <c r="J397" s="152"/>
    </row>
    <row r="398" spans="4:10">
      <c r="D398" s="152"/>
      <c r="E398" s="152"/>
      <c r="H398" s="152"/>
      <c r="J398" s="152"/>
    </row>
    <row r="399" spans="4:10">
      <c r="D399" s="152"/>
      <c r="E399" s="152"/>
      <c r="H399" s="152"/>
      <c r="J399" s="152"/>
    </row>
    <row r="400" spans="4:10">
      <c r="D400" s="152"/>
      <c r="E400" s="152"/>
      <c r="H400" s="152"/>
      <c r="J400" s="152"/>
    </row>
    <row r="401" spans="4:10">
      <c r="D401" s="152"/>
      <c r="E401" s="152"/>
      <c r="H401" s="152"/>
      <c r="J401" s="152"/>
    </row>
    <row r="402" spans="4:10">
      <c r="D402" s="152"/>
      <c r="E402" s="152"/>
      <c r="H402" s="152"/>
      <c r="J402" s="152"/>
    </row>
    <row r="403" spans="4:10">
      <c r="D403" s="152"/>
      <c r="E403" s="152"/>
      <c r="H403" s="152"/>
      <c r="J403" s="152"/>
    </row>
    <row r="404" spans="4:10">
      <c r="D404" s="152"/>
      <c r="E404" s="152"/>
      <c r="H404" s="152"/>
      <c r="J404" s="152"/>
    </row>
    <row r="405" spans="4:10">
      <c r="D405" s="152"/>
      <c r="E405" s="152"/>
      <c r="H405" s="152"/>
      <c r="J405" s="152"/>
    </row>
    <row r="406" spans="4:10">
      <c r="D406" s="152"/>
      <c r="E406" s="152"/>
      <c r="H406" s="152"/>
      <c r="J406" s="152"/>
    </row>
    <row r="407" spans="4:10">
      <c r="D407" s="152"/>
      <c r="E407" s="152"/>
      <c r="H407" s="152"/>
      <c r="J407" s="152"/>
    </row>
    <row r="408" spans="4:10">
      <c r="D408" s="152"/>
      <c r="E408" s="152"/>
      <c r="H408" s="152"/>
      <c r="J408" s="152"/>
    </row>
    <row r="409" spans="4:10">
      <c r="D409" s="152"/>
      <c r="E409" s="152"/>
      <c r="H409" s="152"/>
      <c r="J409" s="152"/>
    </row>
    <row r="410" spans="4:10">
      <c r="D410" s="152"/>
      <c r="E410" s="152"/>
      <c r="H410" s="152"/>
      <c r="J410" s="152"/>
    </row>
    <row r="411" spans="4:10">
      <c r="D411" s="152"/>
      <c r="E411" s="152"/>
      <c r="H411" s="152"/>
      <c r="J411" s="152"/>
    </row>
    <row r="412" spans="4:10">
      <c r="D412" s="152"/>
      <c r="E412" s="152"/>
      <c r="H412" s="152"/>
      <c r="J412" s="152"/>
    </row>
  </sheetData>
  <mergeCells count="1">
    <mergeCell ref="A3:H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AB46"/>
  <sheetViews>
    <sheetView zoomScale="85" zoomScaleNormal="85" workbookViewId="0">
      <selection activeCell="F14" sqref="F14"/>
    </sheetView>
  </sheetViews>
  <sheetFormatPr defaultColWidth="9.109375" defaultRowHeight="13.2"/>
  <cols>
    <col min="1" max="1" width="7" style="30" bestFit="1" customWidth="1"/>
    <col min="2" max="2" width="33.44140625" style="31" bestFit="1" customWidth="1"/>
    <col min="3" max="5" width="16.44140625" style="31" customWidth="1"/>
    <col min="6" max="7" width="14.88671875" style="31" customWidth="1"/>
    <col min="8" max="9" width="16.44140625" style="31" customWidth="1"/>
    <col min="10" max="10" width="14.33203125" style="31" bestFit="1" customWidth="1"/>
    <col min="11" max="11" width="14" style="31" bestFit="1" customWidth="1"/>
    <col min="12" max="257" width="9.109375" style="31"/>
    <col min="258" max="258" width="7" style="31" bestFit="1" customWidth="1"/>
    <col min="259" max="259" width="33.44140625" style="31" bestFit="1" customWidth="1"/>
    <col min="260" max="262" width="16.44140625" style="31" customWidth="1"/>
    <col min="263" max="263" width="14.88671875" style="31" customWidth="1"/>
    <col min="264" max="265" width="16.44140625" style="31" customWidth="1"/>
    <col min="266" max="267" width="11.33203125" style="31" bestFit="1" customWidth="1"/>
    <col min="268" max="513" width="9.109375" style="31"/>
    <col min="514" max="514" width="7" style="31" bestFit="1" customWidth="1"/>
    <col min="515" max="515" width="33.44140625" style="31" bestFit="1" customWidth="1"/>
    <col min="516" max="518" width="16.44140625" style="31" customWidth="1"/>
    <col min="519" max="519" width="14.88671875" style="31" customWidth="1"/>
    <col min="520" max="521" width="16.44140625" style="31" customWidth="1"/>
    <col min="522" max="523" width="11.33203125" style="31" bestFit="1" customWidth="1"/>
    <col min="524" max="769" width="9.109375" style="31"/>
    <col min="770" max="770" width="7" style="31" bestFit="1" customWidth="1"/>
    <col min="771" max="771" width="33.44140625" style="31" bestFit="1" customWidth="1"/>
    <col min="772" max="774" width="16.44140625" style="31" customWidth="1"/>
    <col min="775" max="775" width="14.88671875" style="31" customWidth="1"/>
    <col min="776" max="777" width="16.44140625" style="31" customWidth="1"/>
    <col min="778" max="779" width="11.33203125" style="31" bestFit="1" customWidth="1"/>
    <col min="780" max="1025" width="9.109375" style="31"/>
    <col min="1026" max="1026" width="7" style="31" bestFit="1" customWidth="1"/>
    <col min="1027" max="1027" width="33.44140625" style="31" bestFit="1" customWidth="1"/>
    <col min="1028" max="1030" width="16.44140625" style="31" customWidth="1"/>
    <col min="1031" max="1031" width="14.88671875" style="31" customWidth="1"/>
    <col min="1032" max="1033" width="16.44140625" style="31" customWidth="1"/>
    <col min="1034" max="1035" width="11.33203125" style="31" bestFit="1" customWidth="1"/>
    <col min="1036" max="1281" width="9.109375" style="31"/>
    <col min="1282" max="1282" width="7" style="31" bestFit="1" customWidth="1"/>
    <col min="1283" max="1283" width="33.44140625" style="31" bestFit="1" customWidth="1"/>
    <col min="1284" max="1286" width="16.44140625" style="31" customWidth="1"/>
    <col min="1287" max="1287" width="14.88671875" style="31" customWidth="1"/>
    <col min="1288" max="1289" width="16.44140625" style="31" customWidth="1"/>
    <col min="1290" max="1291" width="11.33203125" style="31" bestFit="1" customWidth="1"/>
    <col min="1292" max="1537" width="9.109375" style="31"/>
    <col min="1538" max="1538" width="7" style="31" bestFit="1" customWidth="1"/>
    <col min="1539" max="1539" width="33.44140625" style="31" bestFit="1" customWidth="1"/>
    <col min="1540" max="1542" width="16.44140625" style="31" customWidth="1"/>
    <col min="1543" max="1543" width="14.88671875" style="31" customWidth="1"/>
    <col min="1544" max="1545" width="16.44140625" style="31" customWidth="1"/>
    <col min="1546" max="1547" width="11.33203125" style="31" bestFit="1" customWidth="1"/>
    <col min="1548" max="1793" width="9.109375" style="31"/>
    <col min="1794" max="1794" width="7" style="31" bestFit="1" customWidth="1"/>
    <col min="1795" max="1795" width="33.44140625" style="31" bestFit="1" customWidth="1"/>
    <col min="1796" max="1798" width="16.44140625" style="31" customWidth="1"/>
    <col min="1799" max="1799" width="14.88671875" style="31" customWidth="1"/>
    <col min="1800" max="1801" width="16.44140625" style="31" customWidth="1"/>
    <col min="1802" max="1803" width="11.33203125" style="31" bestFit="1" customWidth="1"/>
    <col min="1804" max="2049" width="9.109375" style="31"/>
    <col min="2050" max="2050" width="7" style="31" bestFit="1" customWidth="1"/>
    <col min="2051" max="2051" width="33.44140625" style="31" bestFit="1" customWidth="1"/>
    <col min="2052" max="2054" width="16.44140625" style="31" customWidth="1"/>
    <col min="2055" max="2055" width="14.88671875" style="31" customWidth="1"/>
    <col min="2056" max="2057" width="16.44140625" style="31" customWidth="1"/>
    <col min="2058" max="2059" width="11.33203125" style="31" bestFit="1" customWidth="1"/>
    <col min="2060" max="2305" width="9.109375" style="31"/>
    <col min="2306" max="2306" width="7" style="31" bestFit="1" customWidth="1"/>
    <col min="2307" max="2307" width="33.44140625" style="31" bestFit="1" customWidth="1"/>
    <col min="2308" max="2310" width="16.44140625" style="31" customWidth="1"/>
    <col min="2311" max="2311" width="14.88671875" style="31" customWidth="1"/>
    <col min="2312" max="2313" width="16.44140625" style="31" customWidth="1"/>
    <col min="2314" max="2315" width="11.33203125" style="31" bestFit="1" customWidth="1"/>
    <col min="2316" max="2561" width="9.109375" style="31"/>
    <col min="2562" max="2562" width="7" style="31" bestFit="1" customWidth="1"/>
    <col min="2563" max="2563" width="33.44140625" style="31" bestFit="1" customWidth="1"/>
    <col min="2564" max="2566" width="16.44140625" style="31" customWidth="1"/>
    <col min="2567" max="2567" width="14.88671875" style="31" customWidth="1"/>
    <col min="2568" max="2569" width="16.44140625" style="31" customWidth="1"/>
    <col min="2570" max="2571" width="11.33203125" style="31" bestFit="1" customWidth="1"/>
    <col min="2572" max="2817" width="9.109375" style="31"/>
    <col min="2818" max="2818" width="7" style="31" bestFit="1" customWidth="1"/>
    <col min="2819" max="2819" width="33.44140625" style="31" bestFit="1" customWidth="1"/>
    <col min="2820" max="2822" width="16.44140625" style="31" customWidth="1"/>
    <col min="2823" max="2823" width="14.88671875" style="31" customWidth="1"/>
    <col min="2824" max="2825" width="16.44140625" style="31" customWidth="1"/>
    <col min="2826" max="2827" width="11.33203125" style="31" bestFit="1" customWidth="1"/>
    <col min="2828" max="3073" width="9.109375" style="31"/>
    <col min="3074" max="3074" width="7" style="31" bestFit="1" customWidth="1"/>
    <col min="3075" max="3075" width="33.44140625" style="31" bestFit="1" customWidth="1"/>
    <col min="3076" max="3078" width="16.44140625" style="31" customWidth="1"/>
    <col min="3079" max="3079" width="14.88671875" style="31" customWidth="1"/>
    <col min="3080" max="3081" width="16.44140625" style="31" customWidth="1"/>
    <col min="3082" max="3083" width="11.33203125" style="31" bestFit="1" customWidth="1"/>
    <col min="3084" max="3329" width="9.109375" style="31"/>
    <col min="3330" max="3330" width="7" style="31" bestFit="1" customWidth="1"/>
    <col min="3331" max="3331" width="33.44140625" style="31" bestFit="1" customWidth="1"/>
    <col min="3332" max="3334" width="16.44140625" style="31" customWidth="1"/>
    <col min="3335" max="3335" width="14.88671875" style="31" customWidth="1"/>
    <col min="3336" max="3337" width="16.44140625" style="31" customWidth="1"/>
    <col min="3338" max="3339" width="11.33203125" style="31" bestFit="1" customWidth="1"/>
    <col min="3340" max="3585" width="9.109375" style="31"/>
    <col min="3586" max="3586" width="7" style="31" bestFit="1" customWidth="1"/>
    <col min="3587" max="3587" width="33.44140625" style="31" bestFit="1" customWidth="1"/>
    <col min="3588" max="3590" width="16.44140625" style="31" customWidth="1"/>
    <col min="3591" max="3591" width="14.88671875" style="31" customWidth="1"/>
    <col min="3592" max="3593" width="16.44140625" style="31" customWidth="1"/>
    <col min="3594" max="3595" width="11.33203125" style="31" bestFit="1" customWidth="1"/>
    <col min="3596" max="3841" width="9.109375" style="31"/>
    <col min="3842" max="3842" width="7" style="31" bestFit="1" customWidth="1"/>
    <col min="3843" max="3843" width="33.44140625" style="31" bestFit="1" customWidth="1"/>
    <col min="3844" max="3846" width="16.44140625" style="31" customWidth="1"/>
    <col min="3847" max="3847" width="14.88671875" style="31" customWidth="1"/>
    <col min="3848" max="3849" width="16.44140625" style="31" customWidth="1"/>
    <col min="3850" max="3851" width="11.33203125" style="31" bestFit="1" customWidth="1"/>
    <col min="3852" max="4097" width="9.109375" style="31"/>
    <col min="4098" max="4098" width="7" style="31" bestFit="1" customWidth="1"/>
    <col min="4099" max="4099" width="33.44140625" style="31" bestFit="1" customWidth="1"/>
    <col min="4100" max="4102" width="16.44140625" style="31" customWidth="1"/>
    <col min="4103" max="4103" width="14.88671875" style="31" customWidth="1"/>
    <col min="4104" max="4105" width="16.44140625" style="31" customWidth="1"/>
    <col min="4106" max="4107" width="11.33203125" style="31" bestFit="1" customWidth="1"/>
    <col min="4108" max="4353" width="9.109375" style="31"/>
    <col min="4354" max="4354" width="7" style="31" bestFit="1" customWidth="1"/>
    <col min="4355" max="4355" width="33.44140625" style="31" bestFit="1" customWidth="1"/>
    <col min="4356" max="4358" width="16.44140625" style="31" customWidth="1"/>
    <col min="4359" max="4359" width="14.88671875" style="31" customWidth="1"/>
    <col min="4360" max="4361" width="16.44140625" style="31" customWidth="1"/>
    <col min="4362" max="4363" width="11.33203125" style="31" bestFit="1" customWidth="1"/>
    <col min="4364" max="4609" width="9.109375" style="31"/>
    <col min="4610" max="4610" width="7" style="31" bestFit="1" customWidth="1"/>
    <col min="4611" max="4611" width="33.44140625" style="31" bestFit="1" customWidth="1"/>
    <col min="4612" max="4614" width="16.44140625" style="31" customWidth="1"/>
    <col min="4615" max="4615" width="14.88671875" style="31" customWidth="1"/>
    <col min="4616" max="4617" width="16.44140625" style="31" customWidth="1"/>
    <col min="4618" max="4619" width="11.33203125" style="31" bestFit="1" customWidth="1"/>
    <col min="4620" max="4865" width="9.109375" style="31"/>
    <col min="4866" max="4866" width="7" style="31" bestFit="1" customWidth="1"/>
    <col min="4867" max="4867" width="33.44140625" style="31" bestFit="1" customWidth="1"/>
    <col min="4868" max="4870" width="16.44140625" style="31" customWidth="1"/>
    <col min="4871" max="4871" width="14.88671875" style="31" customWidth="1"/>
    <col min="4872" max="4873" width="16.44140625" style="31" customWidth="1"/>
    <col min="4874" max="4875" width="11.33203125" style="31" bestFit="1" customWidth="1"/>
    <col min="4876" max="5121" width="9.109375" style="31"/>
    <col min="5122" max="5122" width="7" style="31" bestFit="1" customWidth="1"/>
    <col min="5123" max="5123" width="33.44140625" style="31" bestFit="1" customWidth="1"/>
    <col min="5124" max="5126" width="16.44140625" style="31" customWidth="1"/>
    <col min="5127" max="5127" width="14.88671875" style="31" customWidth="1"/>
    <col min="5128" max="5129" width="16.44140625" style="31" customWidth="1"/>
    <col min="5130" max="5131" width="11.33203125" style="31" bestFit="1" customWidth="1"/>
    <col min="5132" max="5377" width="9.109375" style="31"/>
    <col min="5378" max="5378" width="7" style="31" bestFit="1" customWidth="1"/>
    <col min="5379" max="5379" width="33.44140625" style="31" bestFit="1" customWidth="1"/>
    <col min="5380" max="5382" width="16.44140625" style="31" customWidth="1"/>
    <col min="5383" max="5383" width="14.88671875" style="31" customWidth="1"/>
    <col min="5384" max="5385" width="16.44140625" style="31" customWidth="1"/>
    <col min="5386" max="5387" width="11.33203125" style="31" bestFit="1" customWidth="1"/>
    <col min="5388" max="5633" width="9.109375" style="31"/>
    <col min="5634" max="5634" width="7" style="31" bestFit="1" customWidth="1"/>
    <col min="5635" max="5635" width="33.44140625" style="31" bestFit="1" customWidth="1"/>
    <col min="5636" max="5638" width="16.44140625" style="31" customWidth="1"/>
    <col min="5639" max="5639" width="14.88671875" style="31" customWidth="1"/>
    <col min="5640" max="5641" width="16.44140625" style="31" customWidth="1"/>
    <col min="5642" max="5643" width="11.33203125" style="31" bestFit="1" customWidth="1"/>
    <col min="5644" max="5889" width="9.109375" style="31"/>
    <col min="5890" max="5890" width="7" style="31" bestFit="1" customWidth="1"/>
    <col min="5891" max="5891" width="33.44140625" style="31" bestFit="1" customWidth="1"/>
    <col min="5892" max="5894" width="16.44140625" style="31" customWidth="1"/>
    <col min="5895" max="5895" width="14.88671875" style="31" customWidth="1"/>
    <col min="5896" max="5897" width="16.44140625" style="31" customWidth="1"/>
    <col min="5898" max="5899" width="11.33203125" style="31" bestFit="1" customWidth="1"/>
    <col min="5900" max="6145" width="9.109375" style="31"/>
    <col min="6146" max="6146" width="7" style="31" bestFit="1" customWidth="1"/>
    <col min="6147" max="6147" width="33.44140625" style="31" bestFit="1" customWidth="1"/>
    <col min="6148" max="6150" width="16.44140625" style="31" customWidth="1"/>
    <col min="6151" max="6151" width="14.88671875" style="31" customWidth="1"/>
    <col min="6152" max="6153" width="16.44140625" style="31" customWidth="1"/>
    <col min="6154" max="6155" width="11.33203125" style="31" bestFit="1" customWidth="1"/>
    <col min="6156" max="6401" width="9.109375" style="31"/>
    <col min="6402" max="6402" width="7" style="31" bestFit="1" customWidth="1"/>
    <col min="6403" max="6403" width="33.44140625" style="31" bestFit="1" customWidth="1"/>
    <col min="6404" max="6406" width="16.44140625" style="31" customWidth="1"/>
    <col min="6407" max="6407" width="14.88671875" style="31" customWidth="1"/>
    <col min="6408" max="6409" width="16.44140625" style="31" customWidth="1"/>
    <col min="6410" max="6411" width="11.33203125" style="31" bestFit="1" customWidth="1"/>
    <col min="6412" max="6657" width="9.109375" style="31"/>
    <col min="6658" max="6658" width="7" style="31" bestFit="1" customWidth="1"/>
    <col min="6659" max="6659" width="33.44140625" style="31" bestFit="1" customWidth="1"/>
    <col min="6660" max="6662" width="16.44140625" style="31" customWidth="1"/>
    <col min="6663" max="6663" width="14.88671875" style="31" customWidth="1"/>
    <col min="6664" max="6665" width="16.44140625" style="31" customWidth="1"/>
    <col min="6666" max="6667" width="11.33203125" style="31" bestFit="1" customWidth="1"/>
    <col min="6668" max="6913" width="9.109375" style="31"/>
    <col min="6914" max="6914" width="7" style="31" bestFit="1" customWidth="1"/>
    <col min="6915" max="6915" width="33.44140625" style="31" bestFit="1" customWidth="1"/>
    <col min="6916" max="6918" width="16.44140625" style="31" customWidth="1"/>
    <col min="6919" max="6919" width="14.88671875" style="31" customWidth="1"/>
    <col min="6920" max="6921" width="16.44140625" style="31" customWidth="1"/>
    <col min="6922" max="6923" width="11.33203125" style="31" bestFit="1" customWidth="1"/>
    <col min="6924" max="7169" width="9.109375" style="31"/>
    <col min="7170" max="7170" width="7" style="31" bestFit="1" customWidth="1"/>
    <col min="7171" max="7171" width="33.44140625" style="31" bestFit="1" customWidth="1"/>
    <col min="7172" max="7174" width="16.44140625" style="31" customWidth="1"/>
    <col min="7175" max="7175" width="14.88671875" style="31" customWidth="1"/>
    <col min="7176" max="7177" width="16.44140625" style="31" customWidth="1"/>
    <col min="7178" max="7179" width="11.33203125" style="31" bestFit="1" customWidth="1"/>
    <col min="7180" max="7425" width="9.109375" style="31"/>
    <col min="7426" max="7426" width="7" style="31" bestFit="1" customWidth="1"/>
    <col min="7427" max="7427" width="33.44140625" style="31" bestFit="1" customWidth="1"/>
    <col min="7428" max="7430" width="16.44140625" style="31" customWidth="1"/>
    <col min="7431" max="7431" width="14.88671875" style="31" customWidth="1"/>
    <col min="7432" max="7433" width="16.44140625" style="31" customWidth="1"/>
    <col min="7434" max="7435" width="11.33203125" style="31" bestFit="1" customWidth="1"/>
    <col min="7436" max="7681" width="9.109375" style="31"/>
    <col min="7682" max="7682" width="7" style="31" bestFit="1" customWidth="1"/>
    <col min="7683" max="7683" width="33.44140625" style="31" bestFit="1" customWidth="1"/>
    <col min="7684" max="7686" width="16.44140625" style="31" customWidth="1"/>
    <col min="7687" max="7687" width="14.88671875" style="31" customWidth="1"/>
    <col min="7688" max="7689" width="16.44140625" style="31" customWidth="1"/>
    <col min="7690" max="7691" width="11.33203125" style="31" bestFit="1" customWidth="1"/>
    <col min="7692" max="7937" width="9.109375" style="31"/>
    <col min="7938" max="7938" width="7" style="31" bestFit="1" customWidth="1"/>
    <col min="7939" max="7939" width="33.44140625" style="31" bestFit="1" customWidth="1"/>
    <col min="7940" max="7942" width="16.44140625" style="31" customWidth="1"/>
    <col min="7943" max="7943" width="14.88671875" style="31" customWidth="1"/>
    <col min="7944" max="7945" width="16.44140625" style="31" customWidth="1"/>
    <col min="7946" max="7947" width="11.33203125" style="31" bestFit="1" customWidth="1"/>
    <col min="7948" max="8193" width="9.109375" style="31"/>
    <col min="8194" max="8194" width="7" style="31" bestFit="1" customWidth="1"/>
    <col min="8195" max="8195" width="33.44140625" style="31" bestFit="1" customWidth="1"/>
    <col min="8196" max="8198" width="16.44140625" style="31" customWidth="1"/>
    <col min="8199" max="8199" width="14.88671875" style="31" customWidth="1"/>
    <col min="8200" max="8201" width="16.44140625" style="31" customWidth="1"/>
    <col min="8202" max="8203" width="11.33203125" style="31" bestFit="1" customWidth="1"/>
    <col min="8204" max="8449" width="9.109375" style="31"/>
    <col min="8450" max="8450" width="7" style="31" bestFit="1" customWidth="1"/>
    <col min="8451" max="8451" width="33.44140625" style="31" bestFit="1" customWidth="1"/>
    <col min="8452" max="8454" width="16.44140625" style="31" customWidth="1"/>
    <col min="8455" max="8455" width="14.88671875" style="31" customWidth="1"/>
    <col min="8456" max="8457" width="16.44140625" style="31" customWidth="1"/>
    <col min="8458" max="8459" width="11.33203125" style="31" bestFit="1" customWidth="1"/>
    <col min="8460" max="8705" width="9.109375" style="31"/>
    <col min="8706" max="8706" width="7" style="31" bestFit="1" customWidth="1"/>
    <col min="8707" max="8707" width="33.44140625" style="31" bestFit="1" customWidth="1"/>
    <col min="8708" max="8710" width="16.44140625" style="31" customWidth="1"/>
    <col min="8711" max="8711" width="14.88671875" style="31" customWidth="1"/>
    <col min="8712" max="8713" width="16.44140625" style="31" customWidth="1"/>
    <col min="8714" max="8715" width="11.33203125" style="31" bestFit="1" customWidth="1"/>
    <col min="8716" max="8961" width="9.109375" style="31"/>
    <col min="8962" max="8962" width="7" style="31" bestFit="1" customWidth="1"/>
    <col min="8963" max="8963" width="33.44140625" style="31" bestFit="1" customWidth="1"/>
    <col min="8964" max="8966" width="16.44140625" style="31" customWidth="1"/>
    <col min="8967" max="8967" width="14.88671875" style="31" customWidth="1"/>
    <col min="8968" max="8969" width="16.44140625" style="31" customWidth="1"/>
    <col min="8970" max="8971" width="11.33203125" style="31" bestFit="1" customWidth="1"/>
    <col min="8972" max="9217" width="9.109375" style="31"/>
    <col min="9218" max="9218" width="7" style="31" bestFit="1" customWidth="1"/>
    <col min="9219" max="9219" width="33.44140625" style="31" bestFit="1" customWidth="1"/>
    <col min="9220" max="9222" width="16.44140625" style="31" customWidth="1"/>
    <col min="9223" max="9223" width="14.88671875" style="31" customWidth="1"/>
    <col min="9224" max="9225" width="16.44140625" style="31" customWidth="1"/>
    <col min="9226" max="9227" width="11.33203125" style="31" bestFit="1" customWidth="1"/>
    <col min="9228" max="9473" width="9.109375" style="31"/>
    <col min="9474" max="9474" width="7" style="31" bestFit="1" customWidth="1"/>
    <col min="9475" max="9475" width="33.44140625" style="31" bestFit="1" customWidth="1"/>
    <col min="9476" max="9478" width="16.44140625" style="31" customWidth="1"/>
    <col min="9479" max="9479" width="14.88671875" style="31" customWidth="1"/>
    <col min="9480" max="9481" width="16.44140625" style="31" customWidth="1"/>
    <col min="9482" max="9483" width="11.33203125" style="31" bestFit="1" customWidth="1"/>
    <col min="9484" max="9729" width="9.109375" style="31"/>
    <col min="9730" max="9730" width="7" style="31" bestFit="1" customWidth="1"/>
    <col min="9731" max="9731" width="33.44140625" style="31" bestFit="1" customWidth="1"/>
    <col min="9732" max="9734" width="16.44140625" style="31" customWidth="1"/>
    <col min="9735" max="9735" width="14.88671875" style="31" customWidth="1"/>
    <col min="9736" max="9737" width="16.44140625" style="31" customWidth="1"/>
    <col min="9738" max="9739" width="11.33203125" style="31" bestFit="1" customWidth="1"/>
    <col min="9740" max="9985" width="9.109375" style="31"/>
    <col min="9986" max="9986" width="7" style="31" bestFit="1" customWidth="1"/>
    <col min="9987" max="9987" width="33.44140625" style="31" bestFit="1" customWidth="1"/>
    <col min="9988" max="9990" width="16.44140625" style="31" customWidth="1"/>
    <col min="9991" max="9991" width="14.88671875" style="31" customWidth="1"/>
    <col min="9992" max="9993" width="16.44140625" style="31" customWidth="1"/>
    <col min="9994" max="9995" width="11.33203125" style="31" bestFit="1" customWidth="1"/>
    <col min="9996" max="10241" width="9.109375" style="31"/>
    <col min="10242" max="10242" width="7" style="31" bestFit="1" customWidth="1"/>
    <col min="10243" max="10243" width="33.44140625" style="31" bestFit="1" customWidth="1"/>
    <col min="10244" max="10246" width="16.44140625" style="31" customWidth="1"/>
    <col min="10247" max="10247" width="14.88671875" style="31" customWidth="1"/>
    <col min="10248" max="10249" width="16.44140625" style="31" customWidth="1"/>
    <col min="10250" max="10251" width="11.33203125" style="31" bestFit="1" customWidth="1"/>
    <col min="10252" max="10497" width="9.109375" style="31"/>
    <col min="10498" max="10498" width="7" style="31" bestFit="1" customWidth="1"/>
    <col min="10499" max="10499" width="33.44140625" style="31" bestFit="1" customWidth="1"/>
    <col min="10500" max="10502" width="16.44140625" style="31" customWidth="1"/>
    <col min="10503" max="10503" width="14.88671875" style="31" customWidth="1"/>
    <col min="10504" max="10505" width="16.44140625" style="31" customWidth="1"/>
    <col min="10506" max="10507" width="11.33203125" style="31" bestFit="1" customWidth="1"/>
    <col min="10508" max="10753" width="9.109375" style="31"/>
    <col min="10754" max="10754" width="7" style="31" bestFit="1" customWidth="1"/>
    <col min="10755" max="10755" width="33.44140625" style="31" bestFit="1" customWidth="1"/>
    <col min="10756" max="10758" width="16.44140625" style="31" customWidth="1"/>
    <col min="10759" max="10759" width="14.88671875" style="31" customWidth="1"/>
    <col min="10760" max="10761" width="16.44140625" style="31" customWidth="1"/>
    <col min="10762" max="10763" width="11.33203125" style="31" bestFit="1" customWidth="1"/>
    <col min="10764" max="11009" width="9.109375" style="31"/>
    <col min="11010" max="11010" width="7" style="31" bestFit="1" customWidth="1"/>
    <col min="11011" max="11011" width="33.44140625" style="31" bestFit="1" customWidth="1"/>
    <col min="11012" max="11014" width="16.44140625" style="31" customWidth="1"/>
    <col min="11015" max="11015" width="14.88671875" style="31" customWidth="1"/>
    <col min="11016" max="11017" width="16.44140625" style="31" customWidth="1"/>
    <col min="11018" max="11019" width="11.33203125" style="31" bestFit="1" customWidth="1"/>
    <col min="11020" max="11265" width="9.109375" style="31"/>
    <col min="11266" max="11266" width="7" style="31" bestFit="1" customWidth="1"/>
    <col min="11267" max="11267" width="33.44140625" style="31" bestFit="1" customWidth="1"/>
    <col min="11268" max="11270" width="16.44140625" style="31" customWidth="1"/>
    <col min="11271" max="11271" width="14.88671875" style="31" customWidth="1"/>
    <col min="11272" max="11273" width="16.44140625" style="31" customWidth="1"/>
    <col min="11274" max="11275" width="11.33203125" style="31" bestFit="1" customWidth="1"/>
    <col min="11276" max="11521" width="9.109375" style="31"/>
    <col min="11522" max="11522" width="7" style="31" bestFit="1" customWidth="1"/>
    <col min="11523" max="11523" width="33.44140625" style="31" bestFit="1" customWidth="1"/>
    <col min="11524" max="11526" width="16.44140625" style="31" customWidth="1"/>
    <col min="11527" max="11527" width="14.88671875" style="31" customWidth="1"/>
    <col min="11528" max="11529" width="16.44140625" style="31" customWidth="1"/>
    <col min="11530" max="11531" width="11.33203125" style="31" bestFit="1" customWidth="1"/>
    <col min="11532" max="11777" width="9.109375" style="31"/>
    <col min="11778" max="11778" width="7" style="31" bestFit="1" customWidth="1"/>
    <col min="11779" max="11779" width="33.44140625" style="31" bestFit="1" customWidth="1"/>
    <col min="11780" max="11782" width="16.44140625" style="31" customWidth="1"/>
    <col min="11783" max="11783" width="14.88671875" style="31" customWidth="1"/>
    <col min="11784" max="11785" width="16.44140625" style="31" customWidth="1"/>
    <col min="11786" max="11787" width="11.33203125" style="31" bestFit="1" customWidth="1"/>
    <col min="11788" max="12033" width="9.109375" style="31"/>
    <col min="12034" max="12034" width="7" style="31" bestFit="1" customWidth="1"/>
    <col min="12035" max="12035" width="33.44140625" style="31" bestFit="1" customWidth="1"/>
    <col min="12036" max="12038" width="16.44140625" style="31" customWidth="1"/>
    <col min="12039" max="12039" width="14.88671875" style="31" customWidth="1"/>
    <col min="12040" max="12041" width="16.44140625" style="31" customWidth="1"/>
    <col min="12042" max="12043" width="11.33203125" style="31" bestFit="1" customWidth="1"/>
    <col min="12044" max="12289" width="9.109375" style="31"/>
    <col min="12290" max="12290" width="7" style="31" bestFit="1" customWidth="1"/>
    <col min="12291" max="12291" width="33.44140625" style="31" bestFit="1" customWidth="1"/>
    <col min="12292" max="12294" width="16.44140625" style="31" customWidth="1"/>
    <col min="12295" max="12295" width="14.88671875" style="31" customWidth="1"/>
    <col min="12296" max="12297" width="16.44140625" style="31" customWidth="1"/>
    <col min="12298" max="12299" width="11.33203125" style="31" bestFit="1" customWidth="1"/>
    <col min="12300" max="12545" width="9.109375" style="31"/>
    <col min="12546" max="12546" width="7" style="31" bestFit="1" customWidth="1"/>
    <col min="12547" max="12547" width="33.44140625" style="31" bestFit="1" customWidth="1"/>
    <col min="12548" max="12550" width="16.44140625" style="31" customWidth="1"/>
    <col min="12551" max="12551" width="14.88671875" style="31" customWidth="1"/>
    <col min="12552" max="12553" width="16.44140625" style="31" customWidth="1"/>
    <col min="12554" max="12555" width="11.33203125" style="31" bestFit="1" customWidth="1"/>
    <col min="12556" max="12801" width="9.109375" style="31"/>
    <col min="12802" max="12802" width="7" style="31" bestFit="1" customWidth="1"/>
    <col min="12803" max="12803" width="33.44140625" style="31" bestFit="1" customWidth="1"/>
    <col min="12804" max="12806" width="16.44140625" style="31" customWidth="1"/>
    <col min="12807" max="12807" width="14.88671875" style="31" customWidth="1"/>
    <col min="12808" max="12809" width="16.44140625" style="31" customWidth="1"/>
    <col min="12810" max="12811" width="11.33203125" style="31" bestFit="1" customWidth="1"/>
    <col min="12812" max="13057" width="9.109375" style="31"/>
    <col min="13058" max="13058" width="7" style="31" bestFit="1" customWidth="1"/>
    <col min="13059" max="13059" width="33.44140625" style="31" bestFit="1" customWidth="1"/>
    <col min="13060" max="13062" width="16.44140625" style="31" customWidth="1"/>
    <col min="13063" max="13063" width="14.88671875" style="31" customWidth="1"/>
    <col min="13064" max="13065" width="16.44140625" style="31" customWidth="1"/>
    <col min="13066" max="13067" width="11.33203125" style="31" bestFit="1" customWidth="1"/>
    <col min="13068" max="13313" width="9.109375" style="31"/>
    <col min="13314" max="13314" width="7" style="31" bestFit="1" customWidth="1"/>
    <col min="13315" max="13315" width="33.44140625" style="31" bestFit="1" customWidth="1"/>
    <col min="13316" max="13318" width="16.44140625" style="31" customWidth="1"/>
    <col min="13319" max="13319" width="14.88671875" style="31" customWidth="1"/>
    <col min="13320" max="13321" width="16.44140625" style="31" customWidth="1"/>
    <col min="13322" max="13323" width="11.33203125" style="31" bestFit="1" customWidth="1"/>
    <col min="13324" max="13569" width="9.109375" style="31"/>
    <col min="13570" max="13570" width="7" style="31" bestFit="1" customWidth="1"/>
    <col min="13571" max="13571" width="33.44140625" style="31" bestFit="1" customWidth="1"/>
    <col min="13572" max="13574" width="16.44140625" style="31" customWidth="1"/>
    <col min="13575" max="13575" width="14.88671875" style="31" customWidth="1"/>
    <col min="13576" max="13577" width="16.44140625" style="31" customWidth="1"/>
    <col min="13578" max="13579" width="11.33203125" style="31" bestFit="1" customWidth="1"/>
    <col min="13580" max="13825" width="9.109375" style="31"/>
    <col min="13826" max="13826" width="7" style="31" bestFit="1" customWidth="1"/>
    <col min="13827" max="13827" width="33.44140625" style="31" bestFit="1" customWidth="1"/>
    <col min="13828" max="13830" width="16.44140625" style="31" customWidth="1"/>
    <col min="13831" max="13831" width="14.88671875" style="31" customWidth="1"/>
    <col min="13832" max="13833" width="16.44140625" style="31" customWidth="1"/>
    <col min="13834" max="13835" width="11.33203125" style="31" bestFit="1" customWidth="1"/>
    <col min="13836" max="14081" width="9.109375" style="31"/>
    <col min="14082" max="14082" width="7" style="31" bestFit="1" customWidth="1"/>
    <col min="14083" max="14083" width="33.44140625" style="31" bestFit="1" customWidth="1"/>
    <col min="14084" max="14086" width="16.44140625" style="31" customWidth="1"/>
    <col min="14087" max="14087" width="14.88671875" style="31" customWidth="1"/>
    <col min="14088" max="14089" width="16.44140625" style="31" customWidth="1"/>
    <col min="14090" max="14091" width="11.33203125" style="31" bestFit="1" customWidth="1"/>
    <col min="14092" max="14337" width="9.109375" style="31"/>
    <col min="14338" max="14338" width="7" style="31" bestFit="1" customWidth="1"/>
    <col min="14339" max="14339" width="33.44140625" style="31" bestFit="1" customWidth="1"/>
    <col min="14340" max="14342" width="16.44140625" style="31" customWidth="1"/>
    <col min="14343" max="14343" width="14.88671875" style="31" customWidth="1"/>
    <col min="14344" max="14345" width="16.44140625" style="31" customWidth="1"/>
    <col min="14346" max="14347" width="11.33203125" style="31" bestFit="1" customWidth="1"/>
    <col min="14348" max="14593" width="9.109375" style="31"/>
    <col min="14594" max="14594" width="7" style="31" bestFit="1" customWidth="1"/>
    <col min="14595" max="14595" width="33.44140625" style="31" bestFit="1" customWidth="1"/>
    <col min="14596" max="14598" width="16.44140625" style="31" customWidth="1"/>
    <col min="14599" max="14599" width="14.88671875" style="31" customWidth="1"/>
    <col min="14600" max="14601" width="16.44140625" style="31" customWidth="1"/>
    <col min="14602" max="14603" width="11.33203125" style="31" bestFit="1" customWidth="1"/>
    <col min="14604" max="14849" width="9.109375" style="31"/>
    <col min="14850" max="14850" width="7" style="31" bestFit="1" customWidth="1"/>
    <col min="14851" max="14851" width="33.44140625" style="31" bestFit="1" customWidth="1"/>
    <col min="14852" max="14854" width="16.44140625" style="31" customWidth="1"/>
    <col min="14855" max="14855" width="14.88671875" style="31" customWidth="1"/>
    <col min="14856" max="14857" width="16.44140625" style="31" customWidth="1"/>
    <col min="14858" max="14859" width="11.33203125" style="31" bestFit="1" customWidth="1"/>
    <col min="14860" max="15105" width="9.109375" style="31"/>
    <col min="15106" max="15106" width="7" style="31" bestFit="1" customWidth="1"/>
    <col min="15107" max="15107" width="33.44140625" style="31" bestFit="1" customWidth="1"/>
    <col min="15108" max="15110" width="16.44140625" style="31" customWidth="1"/>
    <col min="15111" max="15111" width="14.88671875" style="31" customWidth="1"/>
    <col min="15112" max="15113" width="16.44140625" style="31" customWidth="1"/>
    <col min="15114" max="15115" width="11.33203125" style="31" bestFit="1" customWidth="1"/>
    <col min="15116" max="15361" width="9.109375" style="31"/>
    <col min="15362" max="15362" width="7" style="31" bestFit="1" customWidth="1"/>
    <col min="15363" max="15363" width="33.44140625" style="31" bestFit="1" customWidth="1"/>
    <col min="15364" max="15366" width="16.44140625" style="31" customWidth="1"/>
    <col min="15367" max="15367" width="14.88671875" style="31" customWidth="1"/>
    <col min="15368" max="15369" width="16.44140625" style="31" customWidth="1"/>
    <col min="15370" max="15371" width="11.33203125" style="31" bestFit="1" customWidth="1"/>
    <col min="15372" max="15617" width="9.109375" style="31"/>
    <col min="15618" max="15618" width="7" style="31" bestFit="1" customWidth="1"/>
    <col min="15619" max="15619" width="33.44140625" style="31" bestFit="1" customWidth="1"/>
    <col min="15620" max="15622" width="16.44140625" style="31" customWidth="1"/>
    <col min="15623" max="15623" width="14.88671875" style="31" customWidth="1"/>
    <col min="15624" max="15625" width="16.44140625" style="31" customWidth="1"/>
    <col min="15626" max="15627" width="11.33203125" style="31" bestFit="1" customWidth="1"/>
    <col min="15628" max="15873" width="9.109375" style="31"/>
    <col min="15874" max="15874" width="7" style="31" bestFit="1" customWidth="1"/>
    <col min="15875" max="15875" width="33.44140625" style="31" bestFit="1" customWidth="1"/>
    <col min="15876" max="15878" width="16.44140625" style="31" customWidth="1"/>
    <col min="15879" max="15879" width="14.88671875" style="31" customWidth="1"/>
    <col min="15880" max="15881" width="16.44140625" style="31" customWidth="1"/>
    <col min="15882" max="15883" width="11.33203125" style="31" bestFit="1" customWidth="1"/>
    <col min="15884" max="16129" width="9.109375" style="31"/>
    <col min="16130" max="16130" width="7" style="31" bestFit="1" customWidth="1"/>
    <col min="16131" max="16131" width="33.44140625" style="31" bestFit="1" customWidth="1"/>
    <col min="16132" max="16134" width="16.44140625" style="31" customWidth="1"/>
    <col min="16135" max="16135" width="14.88671875" style="31" customWidth="1"/>
    <col min="16136" max="16137" width="16.44140625" style="31" customWidth="1"/>
    <col min="16138" max="16139" width="11.33203125" style="31" bestFit="1" customWidth="1"/>
    <col min="16140" max="16384" width="9.109375" style="31"/>
  </cols>
  <sheetData>
    <row r="1" spans="1:28" s="23" customFormat="1" ht="35.1" customHeight="1">
      <c r="A1" s="21"/>
      <c r="B1" s="317" t="s">
        <v>15</v>
      </c>
      <c r="C1" s="317"/>
      <c r="D1" s="317"/>
      <c r="E1" s="317"/>
      <c r="F1" s="317"/>
      <c r="G1" s="317"/>
      <c r="H1" s="317"/>
      <c r="I1" s="317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s="29" customFormat="1" ht="15.75" customHeight="1">
      <c r="A2" s="24"/>
      <c r="B2" s="318" t="s">
        <v>16</v>
      </c>
      <c r="C2" s="318"/>
      <c r="D2" s="318"/>
      <c r="E2" s="318"/>
      <c r="F2" s="318"/>
      <c r="G2" s="50"/>
      <c r="H2" s="25" t="s">
        <v>17</v>
      </c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/>
      <c r="AB2" s="28" t="s">
        <v>18</v>
      </c>
    </row>
    <row r="4" spans="1:28">
      <c r="D4" s="32"/>
      <c r="E4" s="32"/>
      <c r="F4" s="32"/>
      <c r="G4" s="32"/>
      <c r="H4" s="32"/>
      <c r="I4" s="32"/>
    </row>
    <row r="6" spans="1:28" ht="12.75" customHeight="1">
      <c r="A6" s="319" t="s">
        <v>0</v>
      </c>
      <c r="B6" s="319" t="s">
        <v>1</v>
      </c>
      <c r="C6" s="320" t="s">
        <v>144</v>
      </c>
      <c r="D6" s="320" t="s">
        <v>147</v>
      </c>
      <c r="E6" s="320" t="s">
        <v>151</v>
      </c>
      <c r="F6" s="320" t="s">
        <v>66</v>
      </c>
      <c r="G6" s="319" t="s">
        <v>35</v>
      </c>
      <c r="H6" s="319" t="s">
        <v>2</v>
      </c>
      <c r="I6" s="319"/>
    </row>
    <row r="7" spans="1:28" ht="7.5" customHeight="1">
      <c r="A7" s="319"/>
      <c r="B7" s="319"/>
      <c r="C7" s="319"/>
      <c r="D7" s="319"/>
      <c r="E7" s="319"/>
      <c r="F7" s="319"/>
      <c r="G7" s="319"/>
      <c r="H7" s="319"/>
      <c r="I7" s="319"/>
      <c r="J7" s="33"/>
      <c r="K7" s="33"/>
      <c r="L7" s="33"/>
    </row>
    <row r="8" spans="1:28" ht="6.75" customHeight="1">
      <c r="A8" s="319"/>
      <c r="B8" s="319"/>
      <c r="C8" s="319"/>
      <c r="D8" s="319"/>
      <c r="E8" s="319"/>
      <c r="F8" s="319"/>
      <c r="G8" s="319"/>
      <c r="H8" s="319"/>
      <c r="I8" s="319"/>
      <c r="J8" s="33"/>
      <c r="K8" s="33"/>
      <c r="L8" s="33"/>
    </row>
    <row r="9" spans="1:28" ht="15.75" customHeight="1">
      <c r="A9" s="319"/>
      <c r="B9" s="319"/>
      <c r="C9" s="319"/>
      <c r="D9" s="319"/>
      <c r="E9" s="319"/>
      <c r="F9" s="319"/>
      <c r="G9" s="319"/>
      <c r="H9" s="34">
        <v>2012</v>
      </c>
      <c r="I9" s="34">
        <f>H9+1</f>
        <v>2013</v>
      </c>
      <c r="J9" s="32"/>
      <c r="K9" s="32"/>
      <c r="L9" s="32"/>
    </row>
    <row r="10" spans="1:28">
      <c r="A10" s="34">
        <v>0</v>
      </c>
      <c r="B10" s="35" t="s">
        <v>3</v>
      </c>
      <c r="C10" s="34">
        <v>1</v>
      </c>
      <c r="D10" s="34">
        <v>2</v>
      </c>
      <c r="E10" s="34">
        <v>3</v>
      </c>
      <c r="F10" s="34">
        <v>4</v>
      </c>
      <c r="G10" s="34">
        <v>4</v>
      </c>
      <c r="H10" s="34">
        <v>5</v>
      </c>
      <c r="I10" s="34">
        <v>6</v>
      </c>
      <c r="J10" s="32"/>
      <c r="K10" s="32"/>
      <c r="L10" s="32"/>
    </row>
    <row r="11" spans="1:28">
      <c r="A11" s="34"/>
      <c r="B11" s="36" t="s">
        <v>19</v>
      </c>
      <c r="C11" s="37">
        <f>'2023'!J53</f>
        <v>86859433.329999998</v>
      </c>
      <c r="D11" s="268">
        <f>'dec 2024'!L56</f>
        <v>102567423.47999999</v>
      </c>
      <c r="E11" s="283">
        <f>'2025'!L51</f>
        <v>148021198.07000002</v>
      </c>
      <c r="F11" s="38">
        <v>23240206.149999999</v>
      </c>
      <c r="G11" s="38"/>
      <c r="H11" s="39"/>
      <c r="I11" s="39"/>
      <c r="J11" s="220">
        <v>40992400.280000001</v>
      </c>
      <c r="K11" s="221">
        <v>22103636.75</v>
      </c>
      <c r="L11" s="32"/>
    </row>
    <row r="12" spans="1:28">
      <c r="A12" s="34"/>
      <c r="B12" s="36" t="s">
        <v>20</v>
      </c>
      <c r="C12" s="37">
        <f>'2023'!J26</f>
        <v>13858681.9</v>
      </c>
      <c r="D12" s="268">
        <f>'dec 2024'!L24</f>
        <v>14814004.33</v>
      </c>
      <c r="E12" s="283">
        <f>'2025'!L23</f>
        <v>16244231</v>
      </c>
      <c r="F12" s="38">
        <v>4699373</v>
      </c>
      <c r="G12" s="38"/>
      <c r="H12" s="39"/>
      <c r="I12" s="39"/>
      <c r="J12" s="220"/>
      <c r="K12" s="221"/>
      <c r="L12" s="32"/>
    </row>
    <row r="13" spans="1:28">
      <c r="A13" s="34"/>
      <c r="B13" s="36" t="s">
        <v>21</v>
      </c>
      <c r="C13" s="37">
        <f>'2023'!J42</f>
        <v>42000</v>
      </c>
      <c r="D13" s="268">
        <f>'dec 2024'!L41</f>
        <v>72224</v>
      </c>
      <c r="E13" s="282">
        <f>0</f>
        <v>0</v>
      </c>
      <c r="F13" s="38">
        <v>0</v>
      </c>
      <c r="G13" s="38"/>
      <c r="H13" s="39"/>
      <c r="I13" s="39"/>
      <c r="J13" s="220"/>
      <c r="K13" s="221"/>
      <c r="L13" s="32"/>
    </row>
    <row r="14" spans="1:28" ht="26.4">
      <c r="A14" s="34"/>
      <c r="B14" s="36" t="s">
        <v>22</v>
      </c>
      <c r="C14" s="37">
        <f>'2023'!J47</f>
        <v>17862598.849999998</v>
      </c>
      <c r="D14" s="268">
        <f>'dec 2024'!L45</f>
        <v>9386931.040000001</v>
      </c>
      <c r="E14" s="283">
        <f>'2025'!L41</f>
        <v>22287851.899999999</v>
      </c>
      <c r="F14" s="38">
        <v>2504271.4900000002</v>
      </c>
      <c r="G14" s="38"/>
      <c r="H14" s="39"/>
      <c r="I14" s="39"/>
      <c r="J14" s="220"/>
      <c r="K14" s="221"/>
      <c r="L14" s="32"/>
    </row>
    <row r="15" spans="1:28">
      <c r="A15" s="34"/>
      <c r="B15" s="36" t="s">
        <v>23</v>
      </c>
      <c r="C15" s="37">
        <f>'2023'!J52</f>
        <v>12741165.050000001</v>
      </c>
      <c r="D15" s="268">
        <f>'dec 2024'!L55</f>
        <v>32455970.02</v>
      </c>
      <c r="E15" s="283">
        <f>'2025'!L50</f>
        <v>52588201.230000004</v>
      </c>
      <c r="F15" s="38">
        <v>133126.04</v>
      </c>
      <c r="G15" s="38"/>
      <c r="H15" s="39"/>
      <c r="I15" s="39"/>
      <c r="J15" s="220"/>
      <c r="K15" s="221"/>
      <c r="L15" s="32"/>
    </row>
    <row r="16" spans="1:28">
      <c r="A16" s="34"/>
      <c r="B16" s="36" t="s">
        <v>24</v>
      </c>
      <c r="C16" s="37"/>
      <c r="D16" s="268"/>
      <c r="E16" s="282"/>
      <c r="F16" s="38">
        <v>0</v>
      </c>
      <c r="G16" s="38"/>
      <c r="H16" s="39"/>
      <c r="I16" s="39"/>
      <c r="J16" s="222"/>
      <c r="K16" s="221"/>
      <c r="L16" s="32"/>
    </row>
    <row r="17" spans="1:16">
      <c r="A17" s="34"/>
      <c r="B17" s="36" t="s">
        <v>25</v>
      </c>
      <c r="C17" s="37"/>
      <c r="D17" s="268"/>
      <c r="E17" s="282"/>
      <c r="F17" s="38">
        <v>1124278.48</v>
      </c>
      <c r="G17" s="38"/>
      <c r="H17" s="39"/>
      <c r="I17" s="39"/>
      <c r="J17" s="32"/>
      <c r="K17" s="32"/>
      <c r="L17" s="32"/>
    </row>
    <row r="18" spans="1:16">
      <c r="A18" s="34"/>
      <c r="B18" s="36"/>
      <c r="C18" s="37"/>
      <c r="D18" s="268"/>
      <c r="E18" s="282"/>
      <c r="F18" s="38"/>
      <c r="G18" s="38"/>
      <c r="H18" s="39"/>
      <c r="I18" s="39"/>
      <c r="J18" s="32"/>
      <c r="K18" s="32"/>
      <c r="L18" s="32"/>
    </row>
    <row r="19" spans="1:16">
      <c r="A19" s="34">
        <v>1</v>
      </c>
      <c r="B19" s="40" t="s">
        <v>4</v>
      </c>
      <c r="C19" s="38">
        <f>C11-SUM(C12:C18)</f>
        <v>42354987.530000001</v>
      </c>
      <c r="D19" s="268">
        <f>D11-SUM(D12:D18)</f>
        <v>45838294.089999989</v>
      </c>
      <c r="E19" s="268">
        <f>E11-SUM(E12:E18)</f>
        <v>56900913.940000027</v>
      </c>
      <c r="F19" s="38">
        <f>F11-SUM(F12:F17)</f>
        <v>14779157.139999999</v>
      </c>
      <c r="G19" s="38">
        <f>G11-SUM(G12:G17)</f>
        <v>0</v>
      </c>
      <c r="H19" s="38"/>
      <c r="I19" s="38"/>
      <c r="J19" s="296">
        <f>E19/D19</f>
        <v>1.2413401298983646</v>
      </c>
      <c r="K19" s="296">
        <f>D19/C19</f>
        <v>1.0822407646214691</v>
      </c>
      <c r="L19" s="42"/>
      <c r="M19" s="42"/>
      <c r="N19" s="42"/>
      <c r="O19" s="42"/>
      <c r="P19" s="42"/>
    </row>
    <row r="20" spans="1:16" ht="26.4">
      <c r="A20" s="34">
        <v>2</v>
      </c>
      <c r="B20" s="43" t="s">
        <v>5</v>
      </c>
      <c r="C20" s="38">
        <f>C19*0.3</f>
        <v>12706496.259</v>
      </c>
      <c r="D20" s="38">
        <f>D19*0.3</f>
        <v>13751488.226999996</v>
      </c>
      <c r="E20" s="38">
        <f>E19*0.3</f>
        <v>17070274.182000007</v>
      </c>
      <c r="F20" s="38">
        <f>F19*0.3</f>
        <v>4433747.1419999991</v>
      </c>
      <c r="G20" s="38">
        <f>G19*0.3</f>
        <v>0</v>
      </c>
      <c r="H20" s="38"/>
      <c r="I20" s="38"/>
    </row>
    <row r="21" spans="1:16">
      <c r="A21" s="34">
        <v>3</v>
      </c>
      <c r="B21" s="43" t="s">
        <v>6</v>
      </c>
      <c r="C21" s="38">
        <f>SUM(C22:C24)</f>
        <v>0</v>
      </c>
      <c r="D21" s="38">
        <f>SUM(D22:D24)</f>
        <v>0</v>
      </c>
      <c r="E21" s="38">
        <f>SUM(E22:E24)</f>
        <v>0</v>
      </c>
      <c r="F21" s="38"/>
      <c r="G21" s="38"/>
      <c r="H21" s="38"/>
      <c r="I21" s="38"/>
    </row>
    <row r="22" spans="1:16">
      <c r="A22" s="34">
        <v>4</v>
      </c>
      <c r="B22" s="43" t="s">
        <v>7</v>
      </c>
      <c r="C22" s="38">
        <f>'[15]ChExRz T4 2007'!$Q$30</f>
        <v>0</v>
      </c>
      <c r="D22" s="38">
        <v>0</v>
      </c>
      <c r="E22" s="38">
        <v>0</v>
      </c>
      <c r="F22" s="38"/>
      <c r="G22" s="38"/>
      <c r="H22" s="38"/>
      <c r="I22" s="38"/>
    </row>
    <row r="23" spans="1:16">
      <c r="A23" s="34">
        <v>5</v>
      </c>
      <c r="B23" s="43" t="s">
        <v>8</v>
      </c>
      <c r="C23" s="38">
        <v>0</v>
      </c>
      <c r="D23" s="38">
        <v>0</v>
      </c>
      <c r="E23" s="38">
        <v>0</v>
      </c>
      <c r="F23" s="38"/>
      <c r="G23" s="38"/>
      <c r="H23" s="38"/>
      <c r="I23" s="38"/>
    </row>
    <row r="24" spans="1:16">
      <c r="A24" s="34">
        <v>6</v>
      </c>
      <c r="B24" s="43" t="s">
        <v>9</v>
      </c>
      <c r="C24" s="38">
        <v>0</v>
      </c>
      <c r="D24" s="38">
        <v>0</v>
      </c>
      <c r="E24" s="38">
        <v>0</v>
      </c>
      <c r="F24" s="38"/>
      <c r="G24" s="38"/>
      <c r="H24" s="38"/>
      <c r="I24" s="38"/>
    </row>
    <row r="25" spans="1:16" ht="26.4">
      <c r="A25" s="34">
        <v>7</v>
      </c>
      <c r="B25" s="43" t="s">
        <v>10</v>
      </c>
      <c r="C25" s="44">
        <f>C21/C20</f>
        <v>0</v>
      </c>
      <c r="D25" s="44">
        <f>D21/D20</f>
        <v>0</v>
      </c>
      <c r="E25" s="44">
        <f>E21/E20</f>
        <v>0</v>
      </c>
      <c r="F25" s="45"/>
      <c r="G25" s="45"/>
      <c r="H25" s="44"/>
      <c r="I25" s="44"/>
    </row>
    <row r="29" spans="1:16">
      <c r="C29" s="46"/>
    </row>
    <row r="30" spans="1:16">
      <c r="C30" s="41"/>
    </row>
    <row r="31" spans="1:16">
      <c r="C31" s="47"/>
      <c r="D31" s="47"/>
      <c r="E31" s="47"/>
    </row>
    <row r="32" spans="1:16">
      <c r="C32" s="47"/>
      <c r="D32" s="47"/>
      <c r="E32" s="47"/>
    </row>
    <row r="33" spans="3:7">
      <c r="C33" s="47"/>
      <c r="D33" s="47"/>
      <c r="E33" s="47"/>
    </row>
    <row r="35" spans="3:7">
      <c r="C35" s="41"/>
    </row>
    <row r="36" spans="3:7">
      <c r="C36" s="47"/>
      <c r="D36" s="47"/>
      <c r="E36" s="47"/>
    </row>
    <row r="37" spans="3:7">
      <c r="C37" s="47"/>
      <c r="D37" s="47"/>
      <c r="E37" s="47"/>
    </row>
    <row r="38" spans="3:7">
      <c r="C38" s="47"/>
      <c r="D38" s="47"/>
      <c r="E38" s="47"/>
    </row>
    <row r="40" spans="3:7">
      <c r="C40" s="46"/>
      <c r="D40" s="46"/>
      <c r="E40" s="46"/>
    </row>
    <row r="41" spans="3:7">
      <c r="C41" s="46"/>
      <c r="D41" s="46"/>
      <c r="E41" s="46"/>
    </row>
    <row r="42" spans="3:7">
      <c r="C42" s="46"/>
      <c r="D42" s="46"/>
      <c r="E42" s="46"/>
    </row>
    <row r="46" spans="3:7">
      <c r="E46" s="46"/>
      <c r="F46" s="46"/>
      <c r="G46" s="46"/>
    </row>
  </sheetData>
  <mergeCells count="10">
    <mergeCell ref="B1:I1"/>
    <mergeCell ref="B2:F2"/>
    <mergeCell ref="A6:A9"/>
    <mergeCell ref="B6:B9"/>
    <mergeCell ref="C6:C9"/>
    <mergeCell ref="D6:D9"/>
    <mergeCell ref="E6:E9"/>
    <mergeCell ref="F6:F9"/>
    <mergeCell ref="H6:I8"/>
    <mergeCell ref="G6:G9"/>
  </mergeCells>
  <printOptions horizontalCentered="1"/>
  <pageMargins left="0" right="0" top="0.5" bottom="0.39370078740157499" header="0.511811023622047" footer="0.511811023622047"/>
  <pageSetup paperSize="9" orientation="landscape" r:id="rId1"/>
  <headerFooter alignWithMargins="0">
    <oddFooter>&amp;CTUD - servicii de finante publice profesionale  
www.tudconsult.ro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2:S68"/>
  <sheetViews>
    <sheetView tabSelected="1" view="pageBreakPreview" zoomScaleSheetLayoutView="100" workbookViewId="0">
      <selection activeCell="B56" sqref="B56"/>
    </sheetView>
  </sheetViews>
  <sheetFormatPr defaultColWidth="9.109375" defaultRowHeight="13.2"/>
  <cols>
    <col min="1" max="1" width="5" style="11" customWidth="1"/>
    <col min="2" max="2" width="35.44140625" style="12" customWidth="1"/>
    <col min="3" max="4" width="9.33203125" style="12" hidden="1" customWidth="1"/>
    <col min="5" max="5" width="9.6640625" style="12" hidden="1" customWidth="1"/>
    <col min="6" max="6" width="10.44140625" style="12" customWidth="1"/>
    <col min="7" max="7" width="11" style="12" customWidth="1"/>
    <col min="8" max="8" width="10.44140625" style="12" customWidth="1"/>
    <col min="9" max="9" width="10.5546875" style="12" customWidth="1"/>
    <col min="10" max="10" width="10.33203125" style="12" bestFit="1" customWidth="1"/>
    <col min="11" max="11" width="10.5546875" style="12" customWidth="1"/>
    <col min="12" max="12" width="10.33203125" style="12" customWidth="1"/>
    <col min="13" max="13" width="10.44140625" style="12" customWidth="1"/>
    <col min="14" max="14" width="10.6640625" style="12" customWidth="1"/>
    <col min="15" max="15" width="10.21875" style="12" customWidth="1"/>
    <col min="16" max="16" width="10.88671875" style="12" customWidth="1"/>
    <col min="17" max="17" width="9.6640625" style="12" customWidth="1"/>
    <col min="18" max="18" width="9.88671875" style="12" customWidth="1"/>
    <col min="19" max="19" width="11.44140625" style="12" bestFit="1" customWidth="1"/>
    <col min="20" max="16384" width="9.109375" style="12"/>
  </cols>
  <sheetData>
    <row r="2" spans="1:19" ht="17.399999999999999">
      <c r="A2" s="298" t="s">
        <v>47</v>
      </c>
      <c r="B2" s="298"/>
      <c r="P2" s="13" t="s">
        <v>118</v>
      </c>
    </row>
    <row r="3" spans="1:19">
      <c r="A3" s="298" t="s">
        <v>48</v>
      </c>
      <c r="B3" s="298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9">
      <c r="A4" s="298" t="s">
        <v>49</v>
      </c>
      <c r="B4" s="298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9"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9" ht="9.75" customHeight="1"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9" ht="12.75" customHeight="1">
      <c r="A7" s="323" t="s">
        <v>467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</row>
    <row r="8" spans="1:19" ht="21" customHeight="1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</row>
    <row r="9" spans="1:19" ht="11.25" customHeight="1"/>
    <row r="10" spans="1:19" ht="12.75" customHeight="1">
      <c r="A10" s="332" t="s">
        <v>11</v>
      </c>
      <c r="B10" s="333" t="s">
        <v>6</v>
      </c>
      <c r="C10" s="331" t="s">
        <v>12</v>
      </c>
      <c r="D10" s="331"/>
      <c r="E10" s="331"/>
      <c r="F10" s="331"/>
      <c r="G10" s="331"/>
      <c r="H10" s="331"/>
      <c r="I10" s="331"/>
      <c r="J10" s="331"/>
      <c r="K10" s="90"/>
      <c r="L10" s="90"/>
      <c r="M10" s="91"/>
      <c r="N10" s="91"/>
      <c r="O10" s="91"/>
      <c r="P10" s="91"/>
      <c r="Q10" s="91"/>
      <c r="R10" s="91"/>
    </row>
    <row r="11" spans="1:19">
      <c r="A11" s="332"/>
      <c r="B11" s="334"/>
      <c r="C11" s="92"/>
      <c r="D11" s="92">
        <v>2012</v>
      </c>
      <c r="E11" s="92">
        <v>2024</v>
      </c>
      <c r="F11" s="92">
        <v>2026</v>
      </c>
      <c r="G11" s="92">
        <f t="shared" ref="G11:M11" si="0">F11+1</f>
        <v>2027</v>
      </c>
      <c r="H11" s="92">
        <f t="shared" si="0"/>
        <v>2028</v>
      </c>
      <c r="I11" s="92">
        <f t="shared" si="0"/>
        <v>2029</v>
      </c>
      <c r="J11" s="92">
        <f t="shared" si="0"/>
        <v>2030</v>
      </c>
      <c r="K11" s="92">
        <f t="shared" si="0"/>
        <v>2031</v>
      </c>
      <c r="L11" s="92">
        <f t="shared" si="0"/>
        <v>2032</v>
      </c>
      <c r="M11" s="92">
        <f t="shared" si="0"/>
        <v>2033</v>
      </c>
      <c r="N11" s="92">
        <f t="shared" ref="N11:Q11" si="1">M11+1</f>
        <v>2034</v>
      </c>
      <c r="O11" s="92">
        <f t="shared" si="1"/>
        <v>2035</v>
      </c>
      <c r="P11" s="92">
        <f t="shared" si="1"/>
        <v>2036</v>
      </c>
      <c r="Q11" s="92">
        <f t="shared" si="1"/>
        <v>2037</v>
      </c>
      <c r="R11" s="92">
        <f t="shared" ref="R11" si="2">Q11+1</f>
        <v>2038</v>
      </c>
    </row>
    <row r="12" spans="1:19" ht="42.6" customHeight="1">
      <c r="A12" s="327" t="s">
        <v>30</v>
      </c>
      <c r="B12" s="15" t="s">
        <v>98</v>
      </c>
      <c r="C12" s="16"/>
      <c r="D12" s="16" t="e">
        <f t="shared" ref="D12:M12" si="3">SUM(D13:D15)</f>
        <v>#REF!</v>
      </c>
      <c r="E12" s="16" t="e">
        <f t="shared" si="3"/>
        <v>#REF!</v>
      </c>
      <c r="F12" s="16">
        <f t="shared" si="3"/>
        <v>10177.8339392325</v>
      </c>
      <c r="G12" s="16">
        <f t="shared" si="3"/>
        <v>10670.363424898736</v>
      </c>
      <c r="H12" s="16">
        <f t="shared" si="3"/>
        <v>10455.148519810691</v>
      </c>
      <c r="I12" s="16">
        <f t="shared" si="3"/>
        <v>10065.228429008988</v>
      </c>
      <c r="J12" s="16">
        <f t="shared" si="3"/>
        <v>9755.9650980085589</v>
      </c>
      <c r="K12" s="16">
        <f t="shared" si="3"/>
        <v>9739.9660358970195</v>
      </c>
      <c r="L12" s="16">
        <f t="shared" si="3"/>
        <v>8029.4462608563872</v>
      </c>
      <c r="M12" s="16">
        <f t="shared" si="3"/>
        <v>5803.0728822222227</v>
      </c>
      <c r="N12" s="16">
        <f t="shared" ref="N12:Q12" si="4">SUM(N13:N15)</f>
        <v>5083.9637544444449</v>
      </c>
      <c r="O12" s="16">
        <f t="shared" si="4"/>
        <v>4910.8399600000002</v>
      </c>
      <c r="P12" s="16">
        <f t="shared" si="4"/>
        <v>2175.7991777777779</v>
      </c>
      <c r="Q12" s="16">
        <f t="shared" si="4"/>
        <v>0</v>
      </c>
      <c r="R12" s="16">
        <f t="shared" ref="R12" si="5">SUM(R13:R15)</f>
        <v>0</v>
      </c>
    </row>
    <row r="13" spans="1:19" ht="26.4">
      <c r="A13" s="328"/>
      <c r="B13" s="15" t="s">
        <v>480</v>
      </c>
      <c r="C13" s="16"/>
      <c r="D13" s="16" t="e">
        <f>'centralizare credite'!#REF!</f>
        <v>#REF!</v>
      </c>
      <c r="E13" s="16" t="e">
        <f>E17+E29+E33+E37</f>
        <v>#REF!</v>
      </c>
      <c r="F13" s="16">
        <f>F17+F29+F33+F37+F41+F45</f>
        <v>5769.0468583050852</v>
      </c>
      <c r="G13" s="16">
        <f t="shared" ref="G13:R13" si="6">G17+G29+G33+G37+G41+G45</f>
        <v>6680.1579694161965</v>
      </c>
      <c r="H13" s="16">
        <f t="shared" si="6"/>
        <v>6940.1579694161965</v>
      </c>
      <c r="I13" s="16">
        <f t="shared" si="6"/>
        <v>7060.1579694161965</v>
      </c>
      <c r="J13" s="16">
        <f t="shared" si="6"/>
        <v>7260.1579694161965</v>
      </c>
      <c r="K13" s="16">
        <f t="shared" si="6"/>
        <v>7780.1579694161965</v>
      </c>
      <c r="L13" s="16">
        <f t="shared" si="6"/>
        <v>6590.5462274952924</v>
      </c>
      <c r="M13" s="16">
        <f t="shared" si="6"/>
        <v>4781.1111111111113</v>
      </c>
      <c r="N13" s="16">
        <f t="shared" si="6"/>
        <v>4418.1944111111115</v>
      </c>
      <c r="O13" s="16">
        <f t="shared" si="6"/>
        <v>4551.1111111111113</v>
      </c>
      <c r="P13" s="16">
        <f t="shared" si="6"/>
        <v>2120</v>
      </c>
      <c r="Q13" s="16">
        <f t="shared" si="6"/>
        <v>0</v>
      </c>
      <c r="R13" s="16">
        <f t="shared" si="6"/>
        <v>0</v>
      </c>
    </row>
    <row r="14" spans="1:19" ht="26.4">
      <c r="A14" s="328"/>
      <c r="B14" s="15" t="s">
        <v>481</v>
      </c>
      <c r="C14" s="16"/>
      <c r="D14" s="16" t="e">
        <f>'centralizare credite'!#REF!</f>
        <v>#REF!</v>
      </c>
      <c r="E14" s="16" t="e">
        <f t="shared" ref="E14:O15" si="7">E18+E30+E34+E38</f>
        <v>#REF!</v>
      </c>
      <c r="F14" s="16">
        <f>F18+F30+F34+F38+F42+F46</f>
        <v>4408.7870809274136</v>
      </c>
      <c r="G14" s="16">
        <f t="shared" ref="G14:R14" si="8">G18+G30+G34+G38+G42+G46</f>
        <v>3990.2054554825399</v>
      </c>
      <c r="H14" s="16">
        <f t="shared" si="8"/>
        <v>3514.9905503944942</v>
      </c>
      <c r="I14" s="16">
        <f t="shared" si="8"/>
        <v>3005.0704595927923</v>
      </c>
      <c r="J14" s="16">
        <f t="shared" si="8"/>
        <v>2495.8071285923629</v>
      </c>
      <c r="K14" s="16">
        <f t="shared" si="8"/>
        <v>1959.8080664808224</v>
      </c>
      <c r="L14" s="16">
        <f t="shared" si="8"/>
        <v>1438.9000333610948</v>
      </c>
      <c r="M14" s="16">
        <f t="shared" si="8"/>
        <v>1021.9617711111111</v>
      </c>
      <c r="N14" s="16">
        <f t="shared" si="8"/>
        <v>665.76934333333327</v>
      </c>
      <c r="O14" s="16">
        <f t="shared" si="8"/>
        <v>359.72884888888893</v>
      </c>
      <c r="P14" s="16">
        <f t="shared" si="8"/>
        <v>55.799177777777786</v>
      </c>
      <c r="Q14" s="16">
        <f t="shared" si="8"/>
        <v>0</v>
      </c>
      <c r="R14" s="16">
        <f t="shared" si="8"/>
        <v>0</v>
      </c>
    </row>
    <row r="15" spans="1:19" ht="26.4">
      <c r="A15" s="329"/>
      <c r="B15" s="15" t="s">
        <v>482</v>
      </c>
      <c r="C15" s="16"/>
      <c r="D15" s="16">
        <v>0</v>
      </c>
      <c r="E15" s="16" t="e">
        <f t="shared" si="7"/>
        <v>#REF!</v>
      </c>
      <c r="F15" s="16">
        <f t="shared" si="7"/>
        <v>0</v>
      </c>
      <c r="G15" s="16">
        <f t="shared" si="7"/>
        <v>0</v>
      </c>
      <c r="H15" s="16">
        <f t="shared" si="7"/>
        <v>0</v>
      </c>
      <c r="I15" s="16">
        <f t="shared" si="7"/>
        <v>0</v>
      </c>
      <c r="J15" s="16">
        <f t="shared" si="7"/>
        <v>0</v>
      </c>
      <c r="K15" s="16">
        <f t="shared" si="7"/>
        <v>0</v>
      </c>
      <c r="L15" s="16">
        <f t="shared" si="7"/>
        <v>0</v>
      </c>
      <c r="M15" s="16">
        <f t="shared" si="7"/>
        <v>0</v>
      </c>
      <c r="N15" s="16">
        <f t="shared" si="7"/>
        <v>0</v>
      </c>
      <c r="O15" s="16">
        <f t="shared" si="7"/>
        <v>0</v>
      </c>
      <c r="P15" s="16">
        <f t="shared" ref="P15:R15" si="9">P19+P31+P35+P39</f>
        <v>0</v>
      </c>
      <c r="Q15" s="16">
        <f t="shared" si="9"/>
        <v>0</v>
      </c>
      <c r="R15" s="16">
        <f t="shared" si="9"/>
        <v>0</v>
      </c>
    </row>
    <row r="16" spans="1:19" ht="51.75" customHeight="1">
      <c r="A16" s="327" t="s">
        <v>103</v>
      </c>
      <c r="B16" s="15" t="s">
        <v>99</v>
      </c>
      <c r="C16" s="16"/>
      <c r="D16" s="16" t="e">
        <f t="shared" ref="D16:M16" si="10">SUM(D17:D19)</f>
        <v>#REF!</v>
      </c>
      <c r="E16" s="16" t="e">
        <f t="shared" si="10"/>
        <v>#REF!</v>
      </c>
      <c r="F16" s="16">
        <f t="shared" si="10"/>
        <v>2311.9791086769424</v>
      </c>
      <c r="G16" s="16">
        <f t="shared" si="10"/>
        <v>2199.0407271209579</v>
      </c>
      <c r="H16" s="16">
        <f t="shared" si="10"/>
        <v>2087.3658114773571</v>
      </c>
      <c r="I16" s="16">
        <f>SUM(I17:I19)</f>
        <v>1973.1639640089882</v>
      </c>
      <c r="J16" s="16">
        <f t="shared" si="10"/>
        <v>1860.2255824530034</v>
      </c>
      <c r="K16" s="16">
        <f t="shared" si="10"/>
        <v>1747.2872008970185</v>
      </c>
      <c r="L16" s="16">
        <f t="shared" si="10"/>
        <v>280.26879307860901</v>
      </c>
      <c r="M16" s="16">
        <f t="shared" si="10"/>
        <v>0</v>
      </c>
      <c r="N16" s="130"/>
      <c r="O16" s="130"/>
      <c r="P16" s="130"/>
      <c r="Q16" s="130"/>
      <c r="R16" s="130"/>
      <c r="S16" s="17"/>
    </row>
    <row r="17" spans="1:19">
      <c r="A17" s="328"/>
      <c r="B17" s="18" t="s">
        <v>100</v>
      </c>
      <c r="C17" s="16"/>
      <c r="D17" s="16" t="e">
        <f>'centralizare credite'!#REF!</f>
        <v>#REF!</v>
      </c>
      <c r="E17" s="16" t="e">
        <f>'centralizare credite'!#REF!/1000</f>
        <v>#REF!</v>
      </c>
      <c r="F17" s="16">
        <f>'centralizare credite'!F5/1000</f>
        <v>1667.534138305085</v>
      </c>
      <c r="G17" s="16">
        <f>'centralizare credite'!G5/1000</f>
        <v>1667.534138305085</v>
      </c>
      <c r="H17" s="16">
        <f>'centralizare credite'!H5/1000</f>
        <v>1667.534138305085</v>
      </c>
      <c r="I17" s="16">
        <f>'centralizare credite'!I5/1000</f>
        <v>1667.534138305085</v>
      </c>
      <c r="J17" s="16">
        <f>'centralizare credite'!J5/1000</f>
        <v>1667.534138305085</v>
      </c>
      <c r="K17" s="16">
        <f>'centralizare credite'!K5/1000</f>
        <v>1667.534138305085</v>
      </c>
      <c r="L17" s="16">
        <f>'centralizare credite'!L5/1000</f>
        <v>277.92235638418077</v>
      </c>
      <c r="M17" s="16">
        <f>'centralizare credite'!M5/1000</f>
        <v>0</v>
      </c>
      <c r="N17" s="16">
        <f>'centralizare credite'!M5/1000</f>
        <v>0</v>
      </c>
      <c r="O17" s="16">
        <f>'centralizare credite'!N5/1000</f>
        <v>0</v>
      </c>
      <c r="P17" s="16">
        <f>'centralizare credite'!O5/1000</f>
        <v>0</v>
      </c>
      <c r="Q17" s="16">
        <f>'centralizare credite'!P5/1000</f>
        <v>0</v>
      </c>
      <c r="R17" s="16">
        <f>'centralizare credite'!Q5/1000</f>
        <v>0</v>
      </c>
      <c r="S17" s="17"/>
    </row>
    <row r="18" spans="1:19">
      <c r="A18" s="328"/>
      <c r="B18" s="18" t="s">
        <v>101</v>
      </c>
      <c r="C18" s="16"/>
      <c r="D18" s="16" t="e">
        <f>'centralizare credite'!#REF!</f>
        <v>#REF!</v>
      </c>
      <c r="E18" s="16" t="e">
        <f>'centralizare credite'!#REF!/1000</f>
        <v>#REF!</v>
      </c>
      <c r="F18" s="16">
        <f>'centralizare credite'!F6/1000</f>
        <v>644.44497037185738</v>
      </c>
      <c r="G18" s="16">
        <f>'centralizare credite'!G6/1000</f>
        <v>531.50658881587276</v>
      </c>
      <c r="H18" s="16">
        <f>'centralizare credite'!H6/1000</f>
        <v>419.8316731722723</v>
      </c>
      <c r="I18" s="16">
        <f>'centralizare credite'!I6/1000</f>
        <v>305.62982570390318</v>
      </c>
      <c r="J18" s="16">
        <f>'centralizare credite'!J6/1000</f>
        <v>192.69144414791833</v>
      </c>
      <c r="K18" s="16">
        <f>'centralizare credite'!K6/1000</f>
        <v>79.753062591933414</v>
      </c>
      <c r="L18" s="16">
        <f>'centralizare credite'!L6/1000</f>
        <v>2.3464366944282555</v>
      </c>
      <c r="M18" s="16">
        <f>'centralizare credite'!M6/1000</f>
        <v>0</v>
      </c>
      <c r="N18" s="16">
        <f>'centralizare credite'!M6/1000</f>
        <v>0</v>
      </c>
      <c r="O18" s="16">
        <f>'centralizare credite'!N6/1000</f>
        <v>0</v>
      </c>
      <c r="P18" s="16">
        <f>'centralizare credite'!O6/1000</f>
        <v>0</v>
      </c>
      <c r="Q18" s="16">
        <f>'centralizare credite'!P6/1000</f>
        <v>0</v>
      </c>
      <c r="R18" s="16">
        <f>'centralizare credite'!Q6/1000</f>
        <v>0</v>
      </c>
      <c r="S18" s="17"/>
    </row>
    <row r="19" spans="1:19">
      <c r="A19" s="329"/>
      <c r="B19" s="18" t="s">
        <v>102</v>
      </c>
      <c r="C19" s="16"/>
      <c r="D19" s="16">
        <v>0</v>
      </c>
      <c r="E19" s="16" t="e">
        <f>'centralizare credite'!#REF!/1000</f>
        <v>#REF!</v>
      </c>
      <c r="F19" s="16">
        <f>'centralizare credite'!E7/1000</f>
        <v>0</v>
      </c>
      <c r="G19" s="16">
        <f>'centralizare credite'!F7/1000</f>
        <v>0</v>
      </c>
      <c r="H19" s="16">
        <f>'centralizare credite'!G7/1000</f>
        <v>0</v>
      </c>
      <c r="I19" s="16">
        <f>'centralizare credite'!H7/1000</f>
        <v>0</v>
      </c>
      <c r="J19" s="16">
        <f>'centralizare credite'!I7/1000</f>
        <v>0</v>
      </c>
      <c r="K19" s="16">
        <f>'centralizare credite'!J7/1000</f>
        <v>0</v>
      </c>
      <c r="L19" s="16">
        <f>'centralizare credite'!K7/1000</f>
        <v>0</v>
      </c>
      <c r="M19" s="16">
        <f>'centralizare credite'!L7/1000</f>
        <v>0</v>
      </c>
      <c r="N19" s="16">
        <f>'centralizare credite'!M7/1000</f>
        <v>0</v>
      </c>
      <c r="O19" s="16">
        <f>'centralizare credite'!N7/1000</f>
        <v>0</v>
      </c>
      <c r="P19" s="16">
        <f>'centralizare credite'!O7/1000</f>
        <v>0</v>
      </c>
      <c r="Q19" s="16">
        <f>'centralizare credite'!P7/1000</f>
        <v>0</v>
      </c>
      <c r="R19" s="16">
        <f>'centralizare credite'!Q7/1000</f>
        <v>0</v>
      </c>
    </row>
    <row r="20" spans="1:19" ht="38.25" hidden="1" customHeight="1">
      <c r="A20" s="327" t="s">
        <v>36</v>
      </c>
      <c r="B20" s="51" t="s">
        <v>38</v>
      </c>
      <c r="C20" s="16"/>
      <c r="D20" s="16">
        <f t="shared" ref="D20:J20" si="11">SUM(D21:D23)</f>
        <v>78.824759999999998</v>
      </c>
      <c r="E20" s="16" t="e">
        <f>'centralizare credite'!#REF!/1000</f>
        <v>#REF!</v>
      </c>
      <c r="F20" s="16" t="e">
        <f t="shared" si="11"/>
        <v>#REF!</v>
      </c>
      <c r="G20" s="16" t="e">
        <f t="shared" si="11"/>
        <v>#REF!</v>
      </c>
      <c r="H20" s="16" t="e">
        <f t="shared" si="11"/>
        <v>#REF!</v>
      </c>
      <c r="I20" s="16" t="e">
        <f t="shared" si="11"/>
        <v>#REF!</v>
      </c>
      <c r="J20" s="129" t="e">
        <f t="shared" si="11"/>
        <v>#REF!</v>
      </c>
      <c r="K20" s="321"/>
    </row>
    <row r="21" spans="1:19" hidden="1">
      <c r="A21" s="328"/>
      <c r="B21" s="18" t="s">
        <v>39</v>
      </c>
      <c r="C21" s="16"/>
      <c r="D21" s="16">
        <f>66324.76/1000</f>
        <v>66.324759999999998</v>
      </c>
      <c r="E21" s="16" t="e">
        <f>'centralizare credite'!#REF!/1000</f>
        <v>#REF!</v>
      </c>
      <c r="F21" s="16" t="e">
        <f>'centralizare credite'!#REF!</f>
        <v>#REF!</v>
      </c>
      <c r="G21" s="16" t="e">
        <f>'centralizare credite'!#REF!</f>
        <v>#REF!</v>
      </c>
      <c r="H21" s="16" t="e">
        <f>'centralizare credite'!#REF!</f>
        <v>#REF!</v>
      </c>
      <c r="I21" s="16" t="e">
        <f>'centralizare credite'!#REF!</f>
        <v>#REF!</v>
      </c>
      <c r="J21" s="16" t="e">
        <f>'centralizare credite'!#REF!</f>
        <v>#REF!</v>
      </c>
      <c r="K21" s="322"/>
    </row>
    <row r="22" spans="1:19" hidden="1">
      <c r="A22" s="328"/>
      <c r="B22" s="18" t="s">
        <v>40</v>
      </c>
      <c r="C22" s="16"/>
      <c r="D22" s="16">
        <f>12500/1000</f>
        <v>12.5</v>
      </c>
      <c r="E22" s="16" t="e">
        <f>'centralizare credite'!#REF!/1000</f>
        <v>#REF!</v>
      </c>
      <c r="F22" s="16"/>
      <c r="G22" s="16"/>
      <c r="H22" s="16"/>
      <c r="I22" s="16"/>
      <c r="J22" s="16" t="e">
        <f>'centralizare credite'!#REF!</f>
        <v>#REF!</v>
      </c>
      <c r="K22" s="322"/>
    </row>
    <row r="23" spans="1:19" hidden="1">
      <c r="A23" s="329"/>
      <c r="B23" s="18" t="s">
        <v>41</v>
      </c>
      <c r="C23" s="16"/>
      <c r="D23" s="16">
        <v>0</v>
      </c>
      <c r="E23" s="16" t="e">
        <f>'centralizare credite'!#REF!/1000</f>
        <v>#REF!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322"/>
    </row>
    <row r="24" spans="1:19" ht="39" hidden="1" customHeight="1">
      <c r="A24" s="327" t="s">
        <v>37</v>
      </c>
      <c r="B24" s="51" t="s">
        <v>42</v>
      </c>
      <c r="C24" s="16"/>
      <c r="D24" s="16">
        <f>SUM(D25:D27)</f>
        <v>856.40137000000004</v>
      </c>
      <c r="E24" s="16" t="e">
        <f>'centralizare credite'!#REF!/1000</f>
        <v>#REF!</v>
      </c>
      <c r="F24" s="16">
        <f>SUM(F25:F27)</f>
        <v>0</v>
      </c>
      <c r="G24" s="16">
        <f>SUM(G25:G27)</f>
        <v>0</v>
      </c>
      <c r="H24" s="16">
        <f>SUM(H25:H27)</f>
        <v>0</v>
      </c>
      <c r="I24" s="16"/>
      <c r="J24" s="16"/>
      <c r="K24" s="321"/>
    </row>
    <row r="25" spans="1:19" hidden="1">
      <c r="A25" s="328"/>
      <c r="B25" s="18" t="s">
        <v>43</v>
      </c>
      <c r="C25" s="16"/>
      <c r="D25" s="16">
        <f>778401.37/1000</f>
        <v>778.40137000000004</v>
      </c>
      <c r="E25" s="16" t="e">
        <f>'centralizare credite'!#REF!/1000</f>
        <v>#REF!</v>
      </c>
      <c r="F25" s="16"/>
      <c r="G25" s="16"/>
      <c r="H25" s="16"/>
      <c r="I25" s="16"/>
      <c r="J25" s="16"/>
      <c r="K25" s="322"/>
    </row>
    <row r="26" spans="1:19" hidden="1">
      <c r="A26" s="328"/>
      <c r="B26" s="18" t="s">
        <v>44</v>
      </c>
      <c r="C26" s="16"/>
      <c r="D26" s="16">
        <f>78000/1000</f>
        <v>78</v>
      </c>
      <c r="E26" s="16" t="e">
        <f>'centralizare credite'!#REF!/1000</f>
        <v>#REF!</v>
      </c>
      <c r="F26" s="16"/>
      <c r="G26" s="16"/>
      <c r="H26" s="16"/>
      <c r="I26" s="16"/>
      <c r="J26" s="16"/>
      <c r="K26" s="322"/>
    </row>
    <row r="27" spans="1:19" hidden="1">
      <c r="A27" s="329"/>
      <c r="B27" s="18" t="s">
        <v>45</v>
      </c>
      <c r="C27" s="16"/>
      <c r="D27" s="16">
        <v>0</v>
      </c>
      <c r="E27" s="16" t="e">
        <f>'centralizare credite'!#REF!/1000</f>
        <v>#REF!</v>
      </c>
      <c r="F27" s="16"/>
      <c r="G27" s="16"/>
      <c r="H27" s="16"/>
      <c r="I27" s="16"/>
      <c r="J27" s="16"/>
      <c r="K27" s="322"/>
    </row>
    <row r="28" spans="1:19" ht="39" customHeight="1">
      <c r="A28" s="327" t="s">
        <v>104</v>
      </c>
      <c r="B28" s="15" t="s">
        <v>108</v>
      </c>
      <c r="C28" s="16"/>
      <c r="D28" s="16" t="e">
        <f t="shared" ref="D28:M28" si="12">SUM(D29:D31)</f>
        <v>#REF!</v>
      </c>
      <c r="E28" s="16" t="e">
        <f t="shared" si="12"/>
        <v>#REF!</v>
      </c>
      <c r="F28" s="16">
        <f t="shared" si="12"/>
        <v>2704.1917100000005</v>
      </c>
      <c r="G28" s="16">
        <f t="shared" si="12"/>
        <v>2579.9193400000004</v>
      </c>
      <c r="H28" s="16">
        <f t="shared" si="12"/>
        <v>2457.3209200000006</v>
      </c>
      <c r="I28" s="16">
        <f t="shared" si="12"/>
        <v>2331.3745400000003</v>
      </c>
      <c r="J28" s="16">
        <f t="shared" si="12"/>
        <v>2207.1021600000004</v>
      </c>
      <c r="K28" s="16">
        <f t="shared" si="12"/>
        <v>2082.8297700000003</v>
      </c>
      <c r="L28" s="16">
        <f t="shared" si="12"/>
        <v>1958.8695300000006</v>
      </c>
      <c r="M28" s="16">
        <f t="shared" si="12"/>
        <v>0</v>
      </c>
      <c r="N28" s="16">
        <f t="shared" ref="N28:Q28" si="13">SUM(N29:N31)</f>
        <v>0</v>
      </c>
      <c r="O28" s="16">
        <f t="shared" si="13"/>
        <v>0</v>
      </c>
      <c r="P28" s="16">
        <f t="shared" si="13"/>
        <v>0</v>
      </c>
      <c r="Q28" s="16">
        <f t="shared" si="13"/>
        <v>0</v>
      </c>
      <c r="R28" s="16">
        <f t="shared" ref="R28" si="14">SUM(R29:R31)</f>
        <v>0</v>
      </c>
      <c r="S28" s="17"/>
    </row>
    <row r="29" spans="1:19">
      <c r="A29" s="328"/>
      <c r="B29" s="18" t="s">
        <v>105</v>
      </c>
      <c r="C29" s="16"/>
      <c r="D29" s="16" t="e">
        <f>'centralizare credite'!#REF!</f>
        <v>#REF!</v>
      </c>
      <c r="E29" s="16" t="e">
        <f>'centralizare credite'!#REF!/1000</f>
        <v>#REF!</v>
      </c>
      <c r="F29" s="16">
        <f>'centralizare credite'!F11/1000</f>
        <v>1891.5127200000004</v>
      </c>
      <c r="G29" s="16">
        <f>'centralizare credite'!G11/1000</f>
        <v>1891.5127200000004</v>
      </c>
      <c r="H29" s="16">
        <f>'centralizare credite'!H11/1000</f>
        <v>1891.5127200000004</v>
      </c>
      <c r="I29" s="16">
        <f>'centralizare credite'!I11/1000</f>
        <v>1891.5127200000004</v>
      </c>
      <c r="J29" s="16">
        <f>'centralizare credite'!J11/1000</f>
        <v>1891.5127200000004</v>
      </c>
      <c r="K29" s="16">
        <f>'centralizare credite'!K11/1000</f>
        <v>1891.5127200000004</v>
      </c>
      <c r="L29" s="16">
        <f>'centralizare credite'!L11/1000</f>
        <v>1891.5127600000005</v>
      </c>
      <c r="M29" s="16">
        <f>'centralizare credite'!M11/1000</f>
        <v>0</v>
      </c>
      <c r="N29" s="16">
        <f>'centralizare credite'!M11/1000</f>
        <v>0</v>
      </c>
      <c r="O29" s="16">
        <f>'centralizare credite'!N11/1000</f>
        <v>0</v>
      </c>
      <c r="P29" s="16">
        <f>'centralizare credite'!O11/1000</f>
        <v>0</v>
      </c>
      <c r="Q29" s="16">
        <f>'centralizare credite'!P11/1000</f>
        <v>0</v>
      </c>
      <c r="R29" s="16">
        <f>'centralizare credite'!Q11/1000</f>
        <v>0</v>
      </c>
      <c r="S29" s="17"/>
    </row>
    <row r="30" spans="1:19">
      <c r="A30" s="328"/>
      <c r="B30" s="18" t="s">
        <v>106</v>
      </c>
      <c r="C30" s="16"/>
      <c r="D30" s="16" t="e">
        <f>'centralizare credite'!#REF!</f>
        <v>#REF!</v>
      </c>
      <c r="E30" s="16" t="e">
        <f>'centralizare credite'!#REF!/1000</f>
        <v>#REF!</v>
      </c>
      <c r="F30" s="16">
        <f>'centralizare credite'!F12/1000</f>
        <v>812.67899000000011</v>
      </c>
      <c r="G30" s="16">
        <f>'centralizare credite'!G12/1000</f>
        <v>688.40661999999986</v>
      </c>
      <c r="H30" s="16">
        <f>'centralizare credite'!H12/1000</f>
        <v>565.80820000000006</v>
      </c>
      <c r="I30" s="16">
        <f>'centralizare credite'!I12/1000</f>
        <v>439.86181999999997</v>
      </c>
      <c r="J30" s="16">
        <f>'centralizare credite'!J12/1000</f>
        <v>315.58944000000002</v>
      </c>
      <c r="K30" s="16">
        <f>'centralizare credite'!K12/1000</f>
        <v>191.31704999999997</v>
      </c>
      <c r="L30" s="16">
        <f>'centralizare credite'!L12/1000</f>
        <v>67.356769999999997</v>
      </c>
      <c r="M30" s="16">
        <f>'centralizare credite'!M12/1000</f>
        <v>0</v>
      </c>
      <c r="N30" s="16">
        <f>'centralizare credite'!M12/1000</f>
        <v>0</v>
      </c>
      <c r="O30" s="16">
        <f>'centralizare credite'!N12/1000</f>
        <v>0</v>
      </c>
      <c r="P30" s="16">
        <f>'centralizare credite'!O12/1000</f>
        <v>0</v>
      </c>
      <c r="Q30" s="16">
        <f>'centralizare credite'!P12/1000</f>
        <v>0</v>
      </c>
      <c r="R30" s="16">
        <f>'centralizare credite'!Q12/1000</f>
        <v>0</v>
      </c>
      <c r="S30" s="17"/>
    </row>
    <row r="31" spans="1:19">
      <c r="A31" s="329"/>
      <c r="B31" s="18" t="s">
        <v>107</v>
      </c>
      <c r="C31" s="16"/>
      <c r="D31" s="16">
        <v>0</v>
      </c>
      <c r="E31" s="16" t="e">
        <f>'centralizare credite'!#REF!/1000</f>
        <v>#REF!</v>
      </c>
      <c r="F31" s="16">
        <f>'centralizare credite'!E13/1000</f>
        <v>0</v>
      </c>
      <c r="G31" s="16">
        <f>'centralizare credite'!F13/1000</f>
        <v>0</v>
      </c>
      <c r="H31" s="16">
        <f>'centralizare credite'!G13/1000</f>
        <v>0</v>
      </c>
      <c r="I31" s="16">
        <f>'centralizare credite'!H13/1000</f>
        <v>0</v>
      </c>
      <c r="J31" s="16">
        <f>'centralizare credite'!I13/1000</f>
        <v>0</v>
      </c>
      <c r="K31" s="16">
        <f>'centralizare credite'!J13/1000</f>
        <v>0</v>
      </c>
      <c r="L31" s="16">
        <f>'centralizare credite'!K13/1000</f>
        <v>0</v>
      </c>
      <c r="M31" s="16">
        <f>'centralizare credite'!L13/1000</f>
        <v>0</v>
      </c>
      <c r="N31" s="16">
        <f>'centralizare credite'!M13/1000</f>
        <v>0</v>
      </c>
      <c r="O31" s="16">
        <f>'centralizare credite'!N13/1000</f>
        <v>0</v>
      </c>
      <c r="P31" s="16">
        <f>'centralizare credite'!O13/1000</f>
        <v>0</v>
      </c>
      <c r="Q31" s="16">
        <f>'centralizare credite'!P13/1000</f>
        <v>0</v>
      </c>
      <c r="R31" s="16">
        <f>'centralizare credite'!Q13/1000</f>
        <v>0</v>
      </c>
    </row>
    <row r="32" spans="1:19" ht="44.4" customHeight="1">
      <c r="A32" s="327" t="s">
        <v>36</v>
      </c>
      <c r="B32" s="15" t="s">
        <v>146</v>
      </c>
      <c r="C32" s="16"/>
      <c r="D32" s="16" t="e">
        <f t="shared" ref="D32:M32" si="15">SUM(D33:D35)</f>
        <v>#REF!</v>
      </c>
      <c r="E32" s="16" t="e">
        <f t="shared" si="15"/>
        <v>#REF!</v>
      </c>
      <c r="F32" s="16">
        <f t="shared" si="15"/>
        <v>737.83345999999995</v>
      </c>
      <c r="G32" s="16">
        <f t="shared" si="15"/>
        <v>831.25110999999993</v>
      </c>
      <c r="H32" s="16">
        <f t="shared" si="15"/>
        <v>974.69233000000008</v>
      </c>
      <c r="I32" s="16">
        <f t="shared" si="15"/>
        <v>928.72732000000008</v>
      </c>
      <c r="J32" s="16">
        <f t="shared" si="15"/>
        <v>883.83231999999998</v>
      </c>
      <c r="K32" s="16">
        <f t="shared" si="15"/>
        <v>1186.53277</v>
      </c>
      <c r="L32" s="16">
        <f t="shared" si="15"/>
        <v>1115.19883</v>
      </c>
      <c r="M32" s="16">
        <f t="shared" si="15"/>
        <v>1158.7339199999999</v>
      </c>
      <c r="N32" s="16">
        <f t="shared" ref="N32:Q32" si="16">SUM(N33:N35)</f>
        <v>478.63089000000002</v>
      </c>
      <c r="O32" s="16">
        <f t="shared" si="16"/>
        <v>0</v>
      </c>
      <c r="P32" s="16">
        <f t="shared" si="16"/>
        <v>0</v>
      </c>
      <c r="Q32" s="16">
        <f t="shared" si="16"/>
        <v>0</v>
      </c>
      <c r="R32" s="16">
        <f t="shared" ref="R32" si="17">SUM(R33:R35)</f>
        <v>0</v>
      </c>
      <c r="S32" s="17"/>
    </row>
    <row r="33" spans="1:19">
      <c r="A33" s="328"/>
      <c r="B33" s="18" t="s">
        <v>109</v>
      </c>
      <c r="C33" s="16"/>
      <c r="D33" s="16" t="e">
        <f>'centralizare credite'!#REF!</f>
        <v>#REF!</v>
      </c>
      <c r="E33" s="16" t="e">
        <f>'centralizare credite'!#REF!/1000</f>
        <v>#REF!</v>
      </c>
      <c r="F33" s="16">
        <f>'centralizare credite'!F16/1000</f>
        <v>300</v>
      </c>
      <c r="G33" s="16">
        <f>'centralizare credite'!G16/1000</f>
        <v>420</v>
      </c>
      <c r="H33" s="16">
        <f>'centralizare credite'!H16/1000</f>
        <v>600</v>
      </c>
      <c r="I33" s="16">
        <f>'centralizare credite'!I16/1000</f>
        <v>600</v>
      </c>
      <c r="J33" s="16">
        <f>'centralizare credite'!J16/1000</f>
        <v>600</v>
      </c>
      <c r="K33" s="16">
        <f>'centralizare credite'!K16/1000</f>
        <v>960</v>
      </c>
      <c r="L33" s="16">
        <f>'centralizare credite'!L16/1000</f>
        <v>960</v>
      </c>
      <c r="M33" s="16">
        <f>'centralizare credite'!M16/1000</f>
        <v>1080</v>
      </c>
      <c r="N33" s="16">
        <f>'centralizare credite'!N16/1000</f>
        <v>469.58330000000001</v>
      </c>
      <c r="O33" s="16">
        <f>'centralizare credite'!O16/1000</f>
        <v>0</v>
      </c>
      <c r="P33" s="16">
        <f>'centralizare credite'!O16/1000</f>
        <v>0</v>
      </c>
      <c r="Q33" s="16">
        <f>'centralizare credite'!P16/1000</f>
        <v>0</v>
      </c>
      <c r="R33" s="16">
        <f>'centralizare credite'!Q16/1000</f>
        <v>0</v>
      </c>
      <c r="S33" s="17"/>
    </row>
    <row r="34" spans="1:19">
      <c r="A34" s="328"/>
      <c r="B34" s="18" t="s">
        <v>40</v>
      </c>
      <c r="C34" s="16"/>
      <c r="D34" s="16" t="e">
        <f>'centralizare credite'!#REF!</f>
        <v>#REF!</v>
      </c>
      <c r="E34" s="16" t="e">
        <f>'centralizare credite'!#REF!/1000</f>
        <v>#REF!</v>
      </c>
      <c r="F34" s="16">
        <f>'centralizare credite'!F17/1000</f>
        <v>437.83345999999995</v>
      </c>
      <c r="G34" s="16">
        <f>'centralizare credite'!G17/1000</f>
        <v>411.25110999999998</v>
      </c>
      <c r="H34" s="16">
        <f>'centralizare credite'!H17/1000</f>
        <v>374.69233000000003</v>
      </c>
      <c r="I34" s="16">
        <f>'centralizare credite'!I17/1000</f>
        <v>328.72732000000008</v>
      </c>
      <c r="J34" s="16">
        <f>'centralizare credite'!J17/1000</f>
        <v>283.83231999999998</v>
      </c>
      <c r="K34" s="16">
        <f>'centralizare credite'!K17/1000</f>
        <v>226.53277</v>
      </c>
      <c r="L34" s="16">
        <f>'centralizare credite'!L17/1000</f>
        <v>155.19883000000002</v>
      </c>
      <c r="M34" s="16">
        <f>'centralizare credite'!M17/1000</f>
        <v>78.733919999999998</v>
      </c>
      <c r="N34" s="16">
        <f>'centralizare credite'!N17/1000</f>
        <v>9.0475899999999996</v>
      </c>
      <c r="O34" s="16">
        <f>'centralizare credite'!O17/1000</f>
        <v>0</v>
      </c>
      <c r="P34" s="16">
        <f>'centralizare credite'!O17/1000</f>
        <v>0</v>
      </c>
      <c r="Q34" s="16">
        <f>'centralizare credite'!P17/1000</f>
        <v>0</v>
      </c>
      <c r="R34" s="16">
        <f>'centralizare credite'!Q17/1000</f>
        <v>0</v>
      </c>
      <c r="S34" s="17"/>
    </row>
    <row r="35" spans="1:19">
      <c r="A35" s="329"/>
      <c r="B35" s="18" t="s">
        <v>41</v>
      </c>
      <c r="C35" s="16"/>
      <c r="D35" s="16">
        <v>0</v>
      </c>
      <c r="E35" s="16" t="e">
        <f>'centralizare credite'!#REF!/1000</f>
        <v>#REF!</v>
      </c>
      <c r="F35" s="16">
        <f>'centralizare credite'!F18/1000</f>
        <v>0</v>
      </c>
      <c r="G35" s="16">
        <f>'centralizare credite'!G18/1000</f>
        <v>0</v>
      </c>
      <c r="H35" s="16">
        <f>'centralizare credite'!H18/1000</f>
        <v>0</v>
      </c>
      <c r="I35" s="16">
        <f>'centralizare credite'!I18/1000</f>
        <v>0</v>
      </c>
      <c r="J35" s="16">
        <f>'centralizare credite'!J18/1000</f>
        <v>0</v>
      </c>
      <c r="K35" s="16">
        <f>'centralizare credite'!K18/1000</f>
        <v>0</v>
      </c>
      <c r="L35" s="16">
        <f>'centralizare credite'!L18/1000</f>
        <v>0</v>
      </c>
      <c r="M35" s="16">
        <f>'centralizare credite'!M18/1000</f>
        <v>0</v>
      </c>
      <c r="N35" s="16">
        <f>'centralizare credite'!N18/1000</f>
        <v>0</v>
      </c>
      <c r="O35" s="16">
        <f>'centralizare credite'!O18/1000</f>
        <v>0</v>
      </c>
      <c r="P35" s="16">
        <f>'centralizare credite'!O18/1000</f>
        <v>0</v>
      </c>
      <c r="Q35" s="16">
        <f>'centralizare credite'!P18/1000</f>
        <v>0</v>
      </c>
      <c r="R35" s="16">
        <f>'centralizare credite'!Q18/1000</f>
        <v>0</v>
      </c>
    </row>
    <row r="36" spans="1:19" ht="42" customHeight="1">
      <c r="A36" s="327" t="s">
        <v>37</v>
      </c>
      <c r="B36" s="15" t="s">
        <v>473</v>
      </c>
      <c r="C36" s="16"/>
      <c r="D36" s="16" t="e">
        <f t="shared" ref="D36:O36" si="18">SUM(D37:D39)</f>
        <v>#REF!</v>
      </c>
      <c r="E36" s="16" t="e">
        <f t="shared" si="18"/>
        <v>#REF!</v>
      </c>
      <c r="F36" s="16">
        <f t="shared" si="18"/>
        <v>1204.2795833333334</v>
      </c>
      <c r="G36" s="16">
        <f t="shared" si="18"/>
        <v>1148.9212500000001</v>
      </c>
      <c r="H36" s="16">
        <f t="shared" si="18"/>
        <v>1094.5613888888888</v>
      </c>
      <c r="I36" s="16">
        <f t="shared" si="18"/>
        <v>1038.2045833333332</v>
      </c>
      <c r="J36" s="16">
        <f t="shared" si="18"/>
        <v>982.84624999999994</v>
      </c>
      <c r="K36" s="16">
        <f t="shared" si="18"/>
        <v>927.48791666666671</v>
      </c>
      <c r="L36" s="16">
        <f t="shared" si="18"/>
        <v>872.52138888888896</v>
      </c>
      <c r="M36" s="16">
        <f t="shared" si="18"/>
        <v>816.77125000000001</v>
      </c>
      <c r="N36" s="16">
        <f t="shared" si="18"/>
        <v>450.84666666666669</v>
      </c>
      <c r="O36" s="16">
        <f t="shared" si="18"/>
        <v>0</v>
      </c>
      <c r="P36" s="16"/>
      <c r="Q36" s="16"/>
      <c r="R36" s="16"/>
      <c r="S36" s="17"/>
    </row>
    <row r="37" spans="1:19">
      <c r="A37" s="328"/>
      <c r="B37" s="18" t="s">
        <v>145</v>
      </c>
      <c r="C37" s="16"/>
      <c r="D37" s="16" t="e">
        <f>'centralizare credite'!#REF!</f>
        <v>#REF!</v>
      </c>
      <c r="E37" s="16" t="e">
        <f>'centralizare credite'!#REF!/1000</f>
        <v>#REF!</v>
      </c>
      <c r="F37" s="16">
        <f>'centralizare credite'!F20/1000</f>
        <v>750</v>
      </c>
      <c r="G37" s="16">
        <f>'centralizare credite'!G20/1000</f>
        <v>750</v>
      </c>
      <c r="H37" s="16">
        <f>'centralizare credite'!H20/1000</f>
        <v>750</v>
      </c>
      <c r="I37" s="16">
        <f>'centralizare credite'!I20/1000</f>
        <v>750</v>
      </c>
      <c r="J37" s="16">
        <f>'centralizare credite'!J20/1000</f>
        <v>750</v>
      </c>
      <c r="K37" s="16">
        <f>'centralizare credite'!K20/1000</f>
        <v>750</v>
      </c>
      <c r="L37" s="16">
        <f>'centralizare credite'!L20/1000</f>
        <v>750</v>
      </c>
      <c r="M37" s="16">
        <f>'centralizare credite'!M20/1000</f>
        <v>750</v>
      </c>
      <c r="N37" s="16">
        <f>'centralizare credite'!N20/1000</f>
        <v>437.5</v>
      </c>
      <c r="O37" s="16">
        <f>'centralizare credite'!O20/1000</f>
        <v>0</v>
      </c>
      <c r="P37" s="16"/>
      <c r="Q37" s="16"/>
      <c r="R37" s="16"/>
      <c r="S37" s="17"/>
    </row>
    <row r="38" spans="1:19">
      <c r="A38" s="328"/>
      <c r="B38" s="18" t="s">
        <v>44</v>
      </c>
      <c r="C38" s="16"/>
      <c r="D38" s="16" t="e">
        <f>'centralizare credite'!#REF!</f>
        <v>#REF!</v>
      </c>
      <c r="E38" s="16" t="e">
        <f>'centralizare credite'!#REF!/1000</f>
        <v>#REF!</v>
      </c>
      <c r="F38" s="16">
        <f>'centralizare credite'!F21/1000</f>
        <v>454.27958333333339</v>
      </c>
      <c r="G38" s="16">
        <f>'centralizare credite'!G21/1000</f>
        <v>398.92125000000004</v>
      </c>
      <c r="H38" s="16">
        <f>'centralizare credite'!H21/1000</f>
        <v>344.56138888888887</v>
      </c>
      <c r="I38" s="16">
        <f>'centralizare credite'!I21/1000</f>
        <v>288.20458333333329</v>
      </c>
      <c r="J38" s="16">
        <f>'centralizare credite'!J21/1000</f>
        <v>232.84624999999997</v>
      </c>
      <c r="K38" s="16">
        <f>'centralizare credite'!K21/1000</f>
        <v>177.48791666666665</v>
      </c>
      <c r="L38" s="16">
        <f>'centralizare credite'!L21/1000</f>
        <v>122.52138888888892</v>
      </c>
      <c r="M38" s="16">
        <f>'centralizare credite'!M21/1000</f>
        <v>66.771249999999995</v>
      </c>
      <c r="N38" s="16">
        <f>'centralizare credite'!N21/1000</f>
        <v>13.346666666666668</v>
      </c>
      <c r="O38" s="16">
        <f>'centralizare credite'!O21/1000</f>
        <v>0</v>
      </c>
      <c r="P38" s="16"/>
      <c r="Q38" s="16"/>
      <c r="R38" s="16"/>
      <c r="S38" s="17"/>
    </row>
    <row r="39" spans="1:19">
      <c r="A39" s="329"/>
      <c r="B39" s="18" t="s">
        <v>45</v>
      </c>
      <c r="C39" s="16"/>
      <c r="D39" s="16">
        <v>0</v>
      </c>
      <c r="E39" s="16" t="e">
        <f>'centralizare credite'!#REF!/1000</f>
        <v>#REF!</v>
      </c>
      <c r="F39" s="16">
        <f>'centralizare credite'!F22/1000</f>
        <v>0</v>
      </c>
      <c r="G39" s="16">
        <f>'centralizare credite'!G22/1000</f>
        <v>0</v>
      </c>
      <c r="H39" s="16">
        <f>'centralizare credite'!H22/1000</f>
        <v>0</v>
      </c>
      <c r="I39" s="16">
        <f>'centralizare credite'!I22/1000</f>
        <v>0</v>
      </c>
      <c r="J39" s="16">
        <f>'centralizare credite'!J22/1000</f>
        <v>0</v>
      </c>
      <c r="K39" s="16">
        <f>'centralizare credite'!K22/1000</f>
        <v>0</v>
      </c>
      <c r="L39" s="16">
        <f>'centralizare credite'!L22/1000</f>
        <v>0</v>
      </c>
      <c r="M39" s="16">
        <f>'centralizare credite'!M22/1000</f>
        <v>0</v>
      </c>
      <c r="N39" s="16">
        <f>'centralizare credite'!N22/1000</f>
        <v>0</v>
      </c>
      <c r="O39" s="16">
        <f>'centralizare credite'!O22/1000</f>
        <v>0</v>
      </c>
      <c r="P39" s="16"/>
      <c r="Q39" s="16"/>
      <c r="R39" s="16"/>
    </row>
    <row r="40" spans="1:19" ht="42" customHeight="1">
      <c r="A40" s="327" t="s">
        <v>468</v>
      </c>
      <c r="B40" s="15" t="s">
        <v>472</v>
      </c>
      <c r="C40" s="16"/>
      <c r="D40" s="16" t="e">
        <f t="shared" ref="D40:P40" si="19">SUM(D41:D43)</f>
        <v>#REF!</v>
      </c>
      <c r="E40" s="16" t="e">
        <f t="shared" si="19"/>
        <v>#REF!</v>
      </c>
      <c r="F40" s="16">
        <f t="shared" si="19"/>
        <v>2350.6472972222223</v>
      </c>
      <c r="G40" s="16">
        <f t="shared" si="19"/>
        <v>1967.4544666666668</v>
      </c>
      <c r="H40" s="16">
        <f t="shared" si="19"/>
        <v>1991.9263583333334</v>
      </c>
      <c r="I40" s="16">
        <f t="shared" si="19"/>
        <v>2043.0709805555557</v>
      </c>
      <c r="J40" s="16">
        <f t="shared" si="19"/>
        <v>2167.8164944444443</v>
      </c>
      <c r="K40" s="16">
        <f t="shared" si="19"/>
        <v>2238.2308472222221</v>
      </c>
      <c r="L40" s="16">
        <f t="shared" si="19"/>
        <v>2340.5430277777778</v>
      </c>
      <c r="M40" s="16">
        <f t="shared" si="19"/>
        <v>2463.0596611111114</v>
      </c>
      <c r="N40" s="16">
        <f t="shared" si="19"/>
        <v>2886.5229166666668</v>
      </c>
      <c r="O40" s="16">
        <f t="shared" si="19"/>
        <v>3739.421438888889</v>
      </c>
      <c r="P40" s="16">
        <f t="shared" si="19"/>
        <v>2175.7991777777779</v>
      </c>
      <c r="Q40" s="16"/>
      <c r="R40" s="16"/>
      <c r="S40" s="17"/>
    </row>
    <row r="41" spans="1:19">
      <c r="A41" s="328"/>
      <c r="B41" s="18" t="s">
        <v>469</v>
      </c>
      <c r="C41" s="16"/>
      <c r="D41" s="16" t="e">
        <f>'centralizare credite'!#REF!</f>
        <v>#REF!</v>
      </c>
      <c r="E41" s="16" t="e">
        <f>'centralizare credite'!#REF!/1000</f>
        <v>#REF!</v>
      </c>
      <c r="F41" s="16">
        <f>'centralizare credite'!F25/1000</f>
        <v>1160</v>
      </c>
      <c r="G41" s="16">
        <f>'centralizare credite'!G25/1000</f>
        <v>840</v>
      </c>
      <c r="H41" s="16">
        <f>'centralizare credite'!H25/1000</f>
        <v>920</v>
      </c>
      <c r="I41" s="16">
        <f>'centralizare credite'!I25/1000</f>
        <v>1040</v>
      </c>
      <c r="J41" s="16">
        <f>'centralizare credite'!J25/1000</f>
        <v>1240</v>
      </c>
      <c r="K41" s="16">
        <f>'centralizare credite'!K25/1000</f>
        <v>1400</v>
      </c>
      <c r="L41" s="16">
        <f>'centralizare credite'!L25/1000</f>
        <v>1600</v>
      </c>
      <c r="M41" s="16">
        <f>'centralizare credite'!M25/1000</f>
        <v>1840</v>
      </c>
      <c r="N41" s="16">
        <f>'centralizare credite'!N25/1000</f>
        <v>2400</v>
      </c>
      <c r="O41" s="16">
        <f>'centralizare credite'!O25/1000</f>
        <v>3440</v>
      </c>
      <c r="P41" s="16">
        <f>'centralizare credite'!P25/1000</f>
        <v>2120</v>
      </c>
      <c r="Q41" s="16">
        <f>'centralizare credite'!Q25/1000</f>
        <v>0</v>
      </c>
      <c r="R41" s="16"/>
      <c r="S41" s="17"/>
    </row>
    <row r="42" spans="1:19">
      <c r="A42" s="328"/>
      <c r="B42" s="18" t="s">
        <v>470</v>
      </c>
      <c r="C42" s="16"/>
      <c r="D42" s="16" t="e">
        <f>'centralizare credite'!#REF!</f>
        <v>#REF!</v>
      </c>
      <c r="E42" s="16" t="e">
        <f>'centralizare credite'!#REF!/1000</f>
        <v>#REF!</v>
      </c>
      <c r="F42" s="16">
        <f>'centralizare credite'!F26/1000</f>
        <v>1190.6472972222223</v>
      </c>
      <c r="G42" s="16">
        <f>'centralizare credite'!G26/1000</f>
        <v>1127.4544666666668</v>
      </c>
      <c r="H42" s="16">
        <f>'centralizare credite'!H26/1000</f>
        <v>1071.9263583333334</v>
      </c>
      <c r="I42" s="16">
        <f>'centralizare credite'!I26/1000</f>
        <v>1003.0709805555556</v>
      </c>
      <c r="J42" s="16">
        <f>'centralizare credite'!J26/1000</f>
        <v>927.81649444444452</v>
      </c>
      <c r="K42" s="16">
        <f>'centralizare credite'!K26/1000</f>
        <v>838.23084722222222</v>
      </c>
      <c r="L42" s="16">
        <f>'centralizare credite'!L26/1000</f>
        <v>740.54302777777775</v>
      </c>
      <c r="M42" s="16">
        <f>'centralizare credite'!M26/1000</f>
        <v>623.05966111111115</v>
      </c>
      <c r="N42" s="16">
        <f>'centralizare credite'!N26/1000</f>
        <v>486.52291666666662</v>
      </c>
      <c r="O42" s="16">
        <f>'centralizare credite'!O26/1000</f>
        <v>299.42143888888893</v>
      </c>
      <c r="P42" s="16">
        <f>'centralizare credite'!P26/1000</f>
        <v>55.799177777777786</v>
      </c>
      <c r="Q42" s="16">
        <f>'centralizare credite'!Q26/1000</f>
        <v>0</v>
      </c>
      <c r="R42" s="16"/>
      <c r="S42" s="17"/>
    </row>
    <row r="43" spans="1:19">
      <c r="A43" s="329"/>
      <c r="B43" s="18" t="s">
        <v>471</v>
      </c>
      <c r="C43" s="16"/>
      <c r="D43" s="16">
        <v>0</v>
      </c>
      <c r="E43" s="16" t="e">
        <f>'centralizare credite'!#REF!/1000</f>
        <v>#REF!</v>
      </c>
      <c r="F43" s="16">
        <f>'centralizare credite'!F27/1000</f>
        <v>0</v>
      </c>
      <c r="G43" s="16">
        <f>'centralizare credite'!G27/1000</f>
        <v>0</v>
      </c>
      <c r="H43" s="16">
        <f>'centralizare credite'!H27/1000</f>
        <v>0</v>
      </c>
      <c r="I43" s="16">
        <f>'centralizare credite'!I27/1000</f>
        <v>0</v>
      </c>
      <c r="J43" s="16">
        <f>'centralizare credite'!J27/1000</f>
        <v>0</v>
      </c>
      <c r="K43" s="16">
        <f>'centralizare credite'!K27/1000</f>
        <v>0</v>
      </c>
      <c r="L43" s="16">
        <f>'centralizare credite'!L27/1000</f>
        <v>0</v>
      </c>
      <c r="M43" s="16">
        <f>'centralizare credite'!M27/1000</f>
        <v>0</v>
      </c>
      <c r="N43" s="16">
        <f>'centralizare credite'!N27/1000</f>
        <v>0</v>
      </c>
      <c r="O43" s="16">
        <f>'centralizare credite'!O27/1000</f>
        <v>0</v>
      </c>
      <c r="P43" s="16">
        <f>'centralizare credite'!P27/1000</f>
        <v>0</v>
      </c>
      <c r="Q43" s="16">
        <f>'centralizare credite'!Q27/1000</f>
        <v>0</v>
      </c>
      <c r="R43" s="16"/>
    </row>
    <row r="44" spans="1:19" ht="42" customHeight="1">
      <c r="A44" s="327" t="s">
        <v>474</v>
      </c>
      <c r="B44" s="15" t="s">
        <v>475</v>
      </c>
      <c r="C44" s="16"/>
      <c r="D44" s="16" t="e">
        <f t="shared" ref="D44:P44" si="20">SUM(D45:D47)</f>
        <v>#REF!</v>
      </c>
      <c r="E44" s="16" t="e">
        <f t="shared" si="20"/>
        <v>#REF!</v>
      </c>
      <c r="F44" s="16">
        <f t="shared" si="20"/>
        <v>868.90278000000001</v>
      </c>
      <c r="G44" s="16">
        <f t="shared" si="20"/>
        <v>1943.7765311111111</v>
      </c>
      <c r="H44" s="16">
        <f t="shared" si="20"/>
        <v>1849.281711111111</v>
      </c>
      <c r="I44" s="16">
        <f t="shared" si="20"/>
        <v>1750.6870411111113</v>
      </c>
      <c r="J44" s="16">
        <f t="shared" si="20"/>
        <v>1654.1422911111113</v>
      </c>
      <c r="K44" s="16">
        <f t="shared" si="20"/>
        <v>1557.597531111111</v>
      </c>
      <c r="L44" s="16">
        <f t="shared" si="20"/>
        <v>1462.0446911111112</v>
      </c>
      <c r="M44" s="16">
        <f t="shared" si="20"/>
        <v>1364.5080511111112</v>
      </c>
      <c r="N44" s="16">
        <f t="shared" si="20"/>
        <v>1267.963281111111</v>
      </c>
      <c r="O44" s="16">
        <f t="shared" si="20"/>
        <v>1171.4185211111112</v>
      </c>
      <c r="P44" s="16">
        <f t="shared" si="20"/>
        <v>0</v>
      </c>
      <c r="Q44" s="16"/>
      <c r="R44" s="16"/>
      <c r="S44" s="17"/>
    </row>
    <row r="45" spans="1:19">
      <c r="A45" s="328"/>
      <c r="B45" s="18" t="s">
        <v>476</v>
      </c>
      <c r="C45" s="16"/>
      <c r="D45" s="16" t="e">
        <f>'centralizare credite'!#REF!</f>
        <v>#REF!</v>
      </c>
      <c r="E45" s="16" t="e">
        <f>'centralizare credite'!#REF!/1000</f>
        <v>#REF!</v>
      </c>
      <c r="F45" s="16">
        <f>'centralizare credite'!F29/1000</f>
        <v>0</v>
      </c>
      <c r="G45" s="16">
        <f>'centralizare credite'!G29/1000</f>
        <v>1111.1111111111111</v>
      </c>
      <c r="H45" s="16">
        <f>'centralizare credite'!H29/1000</f>
        <v>1111.1111111111111</v>
      </c>
      <c r="I45" s="16">
        <f>'centralizare credite'!I29/1000</f>
        <v>1111.1111111111111</v>
      </c>
      <c r="J45" s="16">
        <f>'centralizare credite'!J29/1000</f>
        <v>1111.1111111111111</v>
      </c>
      <c r="K45" s="16">
        <f>'centralizare credite'!K29/1000</f>
        <v>1111.1111111111111</v>
      </c>
      <c r="L45" s="16">
        <f>'centralizare credite'!L29/1000</f>
        <v>1111.1111111111111</v>
      </c>
      <c r="M45" s="16">
        <f>'centralizare credite'!M29/1000</f>
        <v>1111.1111111111111</v>
      </c>
      <c r="N45" s="16">
        <f>'centralizare credite'!N29/1000</f>
        <v>1111.1111111111111</v>
      </c>
      <c r="O45" s="16">
        <f>'centralizare credite'!O29/1000</f>
        <v>1111.1111111111111</v>
      </c>
      <c r="P45" s="16">
        <f>'centralizare credite'!P29/1000</f>
        <v>0</v>
      </c>
      <c r="Q45" s="16">
        <f>'centralizare credite'!Q29/1000</f>
        <v>0</v>
      </c>
      <c r="R45" s="16"/>
      <c r="S45" s="17"/>
    </row>
    <row r="46" spans="1:19">
      <c r="A46" s="328"/>
      <c r="B46" s="18" t="s">
        <v>477</v>
      </c>
      <c r="C46" s="16"/>
      <c r="D46" s="16" t="e">
        <f>'centralizare credite'!#REF!</f>
        <v>#REF!</v>
      </c>
      <c r="E46" s="16" t="e">
        <f>'centralizare credite'!#REF!/1000</f>
        <v>#REF!</v>
      </c>
      <c r="F46" s="16">
        <f>'centralizare credite'!F30/1000</f>
        <v>868.90278000000001</v>
      </c>
      <c r="G46" s="16">
        <f>'centralizare credite'!G30/1000</f>
        <v>832.66542000000004</v>
      </c>
      <c r="H46" s="16">
        <f>'centralizare credite'!H30/1000</f>
        <v>738.17059999999992</v>
      </c>
      <c r="I46" s="16">
        <f>'centralizare credite'!I30/1000</f>
        <v>639.57593000000008</v>
      </c>
      <c r="J46" s="16">
        <f>'centralizare credite'!J30/1000</f>
        <v>543.03118000000006</v>
      </c>
      <c r="K46" s="16">
        <f>'centralizare credite'!K30/1000</f>
        <v>446.48642000000001</v>
      </c>
      <c r="L46" s="16">
        <f>'centralizare credite'!L30/1000</f>
        <v>350.93358000000001</v>
      </c>
      <c r="M46" s="16">
        <f>'centralizare credite'!M30/1000</f>
        <v>253.39694</v>
      </c>
      <c r="N46" s="16">
        <f>'centralizare credite'!N30/1000</f>
        <v>156.85217</v>
      </c>
      <c r="O46" s="16">
        <f>'centralizare credite'!O30/1000</f>
        <v>60.307410000000004</v>
      </c>
      <c r="P46" s="16">
        <f>'centralizare credite'!P30/1000</f>
        <v>0</v>
      </c>
      <c r="Q46" s="16">
        <f>'centralizare credite'!Q30/1000</f>
        <v>0</v>
      </c>
      <c r="R46" s="16"/>
      <c r="S46" s="17"/>
    </row>
    <row r="47" spans="1:19">
      <c r="A47" s="329"/>
      <c r="B47" s="18" t="s">
        <v>478</v>
      </c>
      <c r="C47" s="16"/>
      <c r="D47" s="16">
        <v>0</v>
      </c>
      <c r="E47" s="16" t="e">
        <f>'centralizare credite'!#REF!/1000</f>
        <v>#REF!</v>
      </c>
      <c r="F47" s="16">
        <f>'centralizare credite'!F31/1000</f>
        <v>0</v>
      </c>
      <c r="G47" s="16">
        <f>'centralizare credite'!G31/1000</f>
        <v>0</v>
      </c>
      <c r="H47" s="16">
        <f>'centralizare credite'!H31/1000</f>
        <v>0</v>
      </c>
      <c r="I47" s="16">
        <f>'centralizare credite'!I31/1000</f>
        <v>0</v>
      </c>
      <c r="J47" s="16">
        <f>'centralizare credite'!J31/1000</f>
        <v>0</v>
      </c>
      <c r="K47" s="16">
        <f>'centralizare credite'!K31/1000</f>
        <v>0</v>
      </c>
      <c r="L47" s="16">
        <f>'centralizare credite'!L31/1000</f>
        <v>0</v>
      </c>
      <c r="M47" s="16">
        <f>'centralizare credite'!M31/1000</f>
        <v>0</v>
      </c>
      <c r="N47" s="16">
        <f>'centralizare credite'!N31/1000</f>
        <v>0</v>
      </c>
      <c r="O47" s="16">
        <f>'centralizare credite'!O31/1000</f>
        <v>0</v>
      </c>
      <c r="P47" s="16">
        <f>'centralizare credite'!P31/1000</f>
        <v>0</v>
      </c>
      <c r="Q47" s="16">
        <f>'centralizare credite'!Q31/1000</f>
        <v>0</v>
      </c>
      <c r="R47" s="16"/>
    </row>
    <row r="48" spans="1:19" ht="27" customHeight="1">
      <c r="A48" s="327" t="s">
        <v>110</v>
      </c>
      <c r="B48" s="15" t="s">
        <v>479</v>
      </c>
      <c r="C48" s="16"/>
      <c r="D48" s="16" t="e">
        <f t="shared" ref="D48:M48" si="21">SUM(D49:D51)</f>
        <v>#REF!</v>
      </c>
      <c r="E48" s="16" t="e">
        <f t="shared" si="21"/>
        <v>#REF!</v>
      </c>
      <c r="F48" s="16">
        <f t="shared" si="21"/>
        <v>35.199999999999996</v>
      </c>
      <c r="G48" s="16">
        <f t="shared" si="21"/>
        <v>811.97439999999995</v>
      </c>
      <c r="H48" s="16">
        <f t="shared" si="21"/>
        <v>1946.0266666666664</v>
      </c>
      <c r="I48" s="16">
        <f t="shared" si="21"/>
        <v>1922.6581333333334</v>
      </c>
      <c r="J48" s="16">
        <f t="shared" si="21"/>
        <v>2020.3797333333332</v>
      </c>
      <c r="K48" s="16">
        <f t="shared" si="21"/>
        <v>1992.4138666666665</v>
      </c>
      <c r="L48" s="16">
        <f t="shared" si="21"/>
        <v>3249.3119999999999</v>
      </c>
      <c r="M48" s="16">
        <f t="shared" si="21"/>
        <v>4686.3285333333333</v>
      </c>
      <c r="N48" s="16">
        <f t="shared" ref="N48:Q48" si="22">SUM(N49:N51)</f>
        <v>4430.2613333333338</v>
      </c>
      <c r="O48" s="16">
        <f t="shared" si="22"/>
        <v>4173.3013333333329</v>
      </c>
      <c r="P48" s="16">
        <f t="shared" si="22"/>
        <v>4674.9578666666666</v>
      </c>
      <c r="Q48" s="16">
        <f t="shared" si="22"/>
        <v>4355.7376000000004</v>
      </c>
      <c r="R48" s="16">
        <f t="shared" ref="R48" si="23">SUM(R49:R51)</f>
        <v>1019.2</v>
      </c>
      <c r="S48" s="17"/>
    </row>
    <row r="49" spans="1:19">
      <c r="A49" s="328"/>
      <c r="B49" s="18" t="s">
        <v>111</v>
      </c>
      <c r="C49" s="16"/>
      <c r="D49" s="16" t="e">
        <f>'centralizare credite'!#REF!</f>
        <v>#REF!</v>
      </c>
      <c r="E49" s="16" t="e">
        <f>'centralizare credite'!#REF!/1000</f>
        <v>#REF!</v>
      </c>
      <c r="F49" s="16">
        <f>'centralizare credite'!F33/1000</f>
        <v>0</v>
      </c>
      <c r="G49" s="16">
        <f>'centralizare credite'!G33/1000</f>
        <v>60</v>
      </c>
      <c r="H49" s="16">
        <f>'centralizare credite'!H33/1000</f>
        <v>240</v>
      </c>
      <c r="I49" s="16">
        <f>'centralizare credite'!I33/1000</f>
        <v>240</v>
      </c>
      <c r="J49" s="16">
        <f>'centralizare credite'!J33/1000</f>
        <v>360</v>
      </c>
      <c r="K49" s="16">
        <f>'centralizare credite'!K33/1000</f>
        <v>360</v>
      </c>
      <c r="L49" s="16">
        <f>'centralizare credite'!L33/1000</f>
        <v>1680</v>
      </c>
      <c r="M49" s="16">
        <f>'centralizare credite'!M33/1000</f>
        <v>3300</v>
      </c>
      <c r="N49" s="16">
        <f>'centralizare credite'!N33/1000</f>
        <v>3300</v>
      </c>
      <c r="O49" s="16">
        <f>'centralizare credite'!O33/1000</f>
        <v>3300</v>
      </c>
      <c r="P49" s="16">
        <f>'centralizare credite'!P33/1000</f>
        <v>4080</v>
      </c>
      <c r="Q49" s="16">
        <f>'centralizare credite'!Q33/1000</f>
        <v>4080</v>
      </c>
      <c r="R49" s="16">
        <f>'centralizare credite'!R33/1000</f>
        <v>1000</v>
      </c>
      <c r="S49" s="17"/>
    </row>
    <row r="50" spans="1:19">
      <c r="A50" s="328"/>
      <c r="B50" s="18" t="s">
        <v>112</v>
      </c>
      <c r="C50" s="16"/>
      <c r="D50" s="16" t="e">
        <f>'centralizare credite'!#REF!</f>
        <v>#REF!</v>
      </c>
      <c r="E50" s="16" t="e">
        <f>'centralizare credite'!#REF!/1000</f>
        <v>#REF!</v>
      </c>
      <c r="F50" s="16">
        <f>'centralizare credite'!F34/1000</f>
        <v>35.199999999999996</v>
      </c>
      <c r="G50" s="16">
        <f>'centralizare credite'!G34/1000</f>
        <v>751.97439999999995</v>
      </c>
      <c r="H50" s="16">
        <f>'centralizare credite'!H34/1000</f>
        <v>1706.0266666666664</v>
      </c>
      <c r="I50" s="16">
        <f>'centralizare credite'!I34/1000</f>
        <v>1682.6581333333334</v>
      </c>
      <c r="J50" s="16">
        <f>'centralizare credite'!J34/1000</f>
        <v>1660.3797333333332</v>
      </c>
      <c r="K50" s="16">
        <f>'centralizare credite'!K34/1000</f>
        <v>1632.4138666666665</v>
      </c>
      <c r="L50" s="16">
        <f>'centralizare credite'!L34/1000</f>
        <v>1569.3119999999999</v>
      </c>
      <c r="M50" s="16">
        <f>'centralizare credite'!M34/1000</f>
        <v>1386.3285333333331</v>
      </c>
      <c r="N50" s="16">
        <f>'centralizare credite'!N34/1000</f>
        <v>1130.2613333333334</v>
      </c>
      <c r="O50" s="16">
        <f>'centralizare credite'!O34/1000</f>
        <v>873.30133333333333</v>
      </c>
      <c r="P50" s="16">
        <f>'centralizare credite'!P34/1000</f>
        <v>594.95786666666675</v>
      </c>
      <c r="Q50" s="16">
        <f>'centralizare credite'!Q34/1000</f>
        <v>275.73760000000004</v>
      </c>
      <c r="R50" s="16">
        <f>'centralizare credite'!R34/1000</f>
        <v>19.199999999999996</v>
      </c>
      <c r="S50" s="17"/>
    </row>
    <row r="51" spans="1:19">
      <c r="A51" s="329"/>
      <c r="B51" s="18" t="s">
        <v>113</v>
      </c>
      <c r="C51" s="16"/>
      <c r="D51" s="16">
        <v>0</v>
      </c>
      <c r="E51" s="16">
        <f>18000/1000</f>
        <v>18</v>
      </c>
      <c r="F51" s="16"/>
      <c r="G51" s="16">
        <f>'centralizare credite'!F27/1000</f>
        <v>0</v>
      </c>
      <c r="H51" s="16">
        <f>'centralizare credite'!G27/1000</f>
        <v>0</v>
      </c>
      <c r="I51" s="16">
        <f>'centralizare credite'!H27/1000</f>
        <v>0</v>
      </c>
      <c r="J51" s="16">
        <f>'centralizare credite'!I27/1000</f>
        <v>0</v>
      </c>
      <c r="K51" s="16">
        <f>'centralizare credite'!J27/1000</f>
        <v>0</v>
      </c>
      <c r="L51" s="16">
        <f>'centralizare credite'!K27/1000</f>
        <v>0</v>
      </c>
      <c r="M51" s="16">
        <f>'centralizare credite'!L27/1000</f>
        <v>0</v>
      </c>
      <c r="N51" s="16">
        <f>'centralizare credite'!M27/1000</f>
        <v>0</v>
      </c>
      <c r="O51" s="16">
        <f>'centralizare credite'!N27/1000</f>
        <v>0</v>
      </c>
      <c r="P51" s="16">
        <f>'centralizare credite'!O27/1000</f>
        <v>0</v>
      </c>
      <c r="Q51" s="16">
        <f>'centralizare credite'!P27/1000</f>
        <v>0</v>
      </c>
      <c r="R51" s="16">
        <f>'centralizare credite'!Q27/1000</f>
        <v>0</v>
      </c>
    </row>
    <row r="52" spans="1:19" ht="26.4">
      <c r="A52" s="327" t="s">
        <v>51</v>
      </c>
      <c r="B52" s="20" t="s">
        <v>114</v>
      </c>
      <c r="C52" s="16"/>
      <c r="D52" s="16" t="e">
        <f>SUM(D53:D55)</f>
        <v>#REF!</v>
      </c>
      <c r="E52" s="59" t="e">
        <f t="shared" ref="E52:M52" si="24">SUM(E53:E55)</f>
        <v>#REF!</v>
      </c>
      <c r="F52" s="59">
        <f t="shared" si="24"/>
        <v>10213.033939232499</v>
      </c>
      <c r="G52" s="59">
        <f t="shared" si="24"/>
        <v>11482.337824898736</v>
      </c>
      <c r="H52" s="59">
        <f t="shared" si="24"/>
        <v>12401.175186477358</v>
      </c>
      <c r="I52" s="59">
        <f t="shared" si="24"/>
        <v>11987.886562342323</v>
      </c>
      <c r="J52" s="59">
        <f t="shared" si="24"/>
        <v>11776.344831341892</v>
      </c>
      <c r="K52" s="59">
        <f t="shared" si="24"/>
        <v>11732.379902563685</v>
      </c>
      <c r="L52" s="59">
        <f t="shared" si="24"/>
        <v>11278.758260856386</v>
      </c>
      <c r="M52" s="59">
        <f t="shared" si="24"/>
        <v>10489.401415555556</v>
      </c>
      <c r="N52" s="59">
        <f t="shared" ref="N52:Q52" si="25">SUM(N53:N55)</f>
        <v>9514.2250877777788</v>
      </c>
      <c r="O52" s="59">
        <f t="shared" si="25"/>
        <v>9084.141293333334</v>
      </c>
      <c r="P52" s="59">
        <f t="shared" si="25"/>
        <v>6850.7570444444445</v>
      </c>
      <c r="Q52" s="59">
        <f t="shared" si="25"/>
        <v>4355.7376000000004</v>
      </c>
      <c r="R52" s="59">
        <f t="shared" ref="R52" si="26">SUM(R53:R55)</f>
        <v>1019.2</v>
      </c>
      <c r="S52" s="17"/>
    </row>
    <row r="53" spans="1:19" ht="26.4">
      <c r="A53" s="328"/>
      <c r="B53" s="15" t="s">
        <v>115</v>
      </c>
      <c r="C53" s="16"/>
      <c r="D53" s="16" t="e">
        <f>'centralizare credite'!#REF!</f>
        <v>#REF!</v>
      </c>
      <c r="E53" s="16" t="e">
        <f>E49+E13</f>
        <v>#REF!</v>
      </c>
      <c r="F53" s="16">
        <f>F49+F13</f>
        <v>5769.0468583050852</v>
      </c>
      <c r="G53" s="16">
        <f t="shared" ref="F53:R53" si="27">G49+G13</f>
        <v>6740.1579694161965</v>
      </c>
      <c r="H53" s="16">
        <f t="shared" si="27"/>
        <v>7180.1579694161965</v>
      </c>
      <c r="I53" s="16">
        <f t="shared" si="27"/>
        <v>7300.1579694161965</v>
      </c>
      <c r="J53" s="16">
        <f t="shared" si="27"/>
        <v>7620.1579694161965</v>
      </c>
      <c r="K53" s="16">
        <f t="shared" si="27"/>
        <v>8140.1579694161965</v>
      </c>
      <c r="L53" s="16">
        <f t="shared" si="27"/>
        <v>8270.5462274952915</v>
      </c>
      <c r="M53" s="16">
        <f t="shared" si="27"/>
        <v>8081.1111111111113</v>
      </c>
      <c r="N53" s="16">
        <f t="shared" si="27"/>
        <v>7718.1944111111115</v>
      </c>
      <c r="O53" s="16">
        <f t="shared" si="27"/>
        <v>7851.1111111111113</v>
      </c>
      <c r="P53" s="16">
        <f t="shared" si="27"/>
        <v>6200</v>
      </c>
      <c r="Q53" s="16">
        <f t="shared" si="27"/>
        <v>4080</v>
      </c>
      <c r="R53" s="16">
        <f t="shared" si="27"/>
        <v>1000</v>
      </c>
      <c r="S53" s="17"/>
    </row>
    <row r="54" spans="1:19">
      <c r="A54" s="328"/>
      <c r="B54" s="18" t="s">
        <v>116</v>
      </c>
      <c r="C54" s="16"/>
      <c r="D54" s="16" t="e">
        <f>'centralizare credite'!#REF!</f>
        <v>#REF!</v>
      </c>
      <c r="E54" s="16" t="e">
        <f>E50+E14</f>
        <v>#REF!</v>
      </c>
      <c r="F54" s="16">
        <f t="shared" ref="F54:R54" si="28">F50+F14</f>
        <v>4443.9870809274134</v>
      </c>
      <c r="G54" s="16">
        <f t="shared" si="28"/>
        <v>4742.17985548254</v>
      </c>
      <c r="H54" s="16">
        <f t="shared" si="28"/>
        <v>5221.0172170611604</v>
      </c>
      <c r="I54" s="16">
        <f t="shared" si="28"/>
        <v>4687.7285929261252</v>
      </c>
      <c r="J54" s="16">
        <f t="shared" si="28"/>
        <v>4156.1868619256966</v>
      </c>
      <c r="K54" s="16">
        <f t="shared" si="28"/>
        <v>3592.2219331474889</v>
      </c>
      <c r="L54" s="16">
        <f t="shared" si="28"/>
        <v>3008.2120333610947</v>
      </c>
      <c r="M54" s="16">
        <f t="shared" si="28"/>
        <v>2408.2903044444442</v>
      </c>
      <c r="N54" s="16">
        <f t="shared" si="28"/>
        <v>1796.0306766666667</v>
      </c>
      <c r="O54" s="16">
        <f t="shared" si="28"/>
        <v>1233.0301822222223</v>
      </c>
      <c r="P54" s="16">
        <f t="shared" si="28"/>
        <v>650.75704444444455</v>
      </c>
      <c r="Q54" s="16">
        <f t="shared" si="28"/>
        <v>275.73760000000004</v>
      </c>
      <c r="R54" s="16">
        <f t="shared" si="28"/>
        <v>19.199999999999996</v>
      </c>
      <c r="S54" s="17"/>
    </row>
    <row r="55" spans="1:19">
      <c r="A55" s="329"/>
      <c r="B55" s="18" t="s">
        <v>117</v>
      </c>
      <c r="C55" s="16"/>
      <c r="D55" s="16" t="e">
        <f>'centralizare credite'!#REF!</f>
        <v>#REF!</v>
      </c>
      <c r="E55" s="16" t="e">
        <f>E51+E15</f>
        <v>#REF!</v>
      </c>
      <c r="F55" s="16">
        <f t="shared" ref="F55:R55" si="29">F51+F15</f>
        <v>0</v>
      </c>
      <c r="G55" s="16">
        <f t="shared" si="29"/>
        <v>0</v>
      </c>
      <c r="H55" s="16">
        <f t="shared" si="29"/>
        <v>0</v>
      </c>
      <c r="I55" s="16">
        <f t="shared" si="29"/>
        <v>0</v>
      </c>
      <c r="J55" s="16">
        <f t="shared" si="29"/>
        <v>0</v>
      </c>
      <c r="K55" s="16">
        <f t="shared" si="29"/>
        <v>0</v>
      </c>
      <c r="L55" s="16">
        <f t="shared" si="29"/>
        <v>0</v>
      </c>
      <c r="M55" s="16">
        <f t="shared" si="29"/>
        <v>0</v>
      </c>
      <c r="N55" s="16">
        <f t="shared" si="29"/>
        <v>0</v>
      </c>
      <c r="O55" s="16">
        <f t="shared" si="29"/>
        <v>0</v>
      </c>
      <c r="P55" s="16">
        <f t="shared" si="29"/>
        <v>0</v>
      </c>
      <c r="Q55" s="16">
        <f t="shared" si="29"/>
        <v>0</v>
      </c>
      <c r="R55" s="16">
        <f t="shared" si="29"/>
        <v>0</v>
      </c>
    </row>
    <row r="56" spans="1:19">
      <c r="A56" s="56"/>
      <c r="B56" s="206" t="s">
        <v>466</v>
      </c>
      <c r="C56" s="58"/>
      <c r="D56" s="58"/>
      <c r="E56" s="58"/>
      <c r="F56" s="58"/>
      <c r="G56" s="58"/>
      <c r="H56" s="58"/>
      <c r="I56" s="58"/>
      <c r="J56" s="58"/>
      <c r="K56" s="56"/>
    </row>
    <row r="57" spans="1:19">
      <c r="A57" s="56"/>
      <c r="B57" s="57"/>
      <c r="C57" s="58"/>
      <c r="D57" s="58"/>
      <c r="E57" s="58"/>
      <c r="F57" s="2" t="s">
        <v>119</v>
      </c>
      <c r="G57" s="58"/>
      <c r="H57" s="58"/>
      <c r="I57" s="58"/>
      <c r="J57" s="58"/>
      <c r="K57" s="56"/>
      <c r="L57" s="2"/>
    </row>
    <row r="58" spans="1:19">
      <c r="A58" s="56"/>
      <c r="B58" s="57"/>
      <c r="C58" s="58"/>
      <c r="D58" s="58"/>
      <c r="E58" s="58"/>
      <c r="F58" s="2" t="s">
        <v>120</v>
      </c>
      <c r="G58" s="58"/>
      <c r="H58" s="58"/>
      <c r="I58" s="58"/>
      <c r="J58" s="58"/>
      <c r="K58" s="56"/>
      <c r="L58" s="2" t="s">
        <v>121</v>
      </c>
    </row>
    <row r="59" spans="1:19">
      <c r="B59" s="19"/>
      <c r="C59" s="19"/>
      <c r="L59" s="19"/>
    </row>
    <row r="60" spans="1:19">
      <c r="B60" s="19"/>
      <c r="C60" s="19"/>
      <c r="L60" s="19"/>
    </row>
    <row r="61" spans="1:19">
      <c r="B61" s="19"/>
      <c r="C61" s="19"/>
      <c r="G61" s="330"/>
      <c r="H61" s="326"/>
      <c r="I61" s="326"/>
      <c r="J61" s="17"/>
      <c r="L61" s="19"/>
    </row>
    <row r="62" spans="1:19">
      <c r="B62" s="49"/>
      <c r="C62" s="14"/>
      <c r="G62" s="325"/>
      <c r="H62" s="326"/>
      <c r="I62" s="326"/>
      <c r="L62" s="14"/>
    </row>
    <row r="67" spans="3:12"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3:12">
      <c r="C68" s="17"/>
      <c r="D68" s="17"/>
      <c r="E68" s="17"/>
      <c r="F68" s="17"/>
      <c r="G68" s="17"/>
      <c r="H68" s="17"/>
      <c r="I68" s="17"/>
      <c r="J68" s="17"/>
      <c r="K68" s="17"/>
      <c r="L68" s="17"/>
    </row>
  </sheetData>
  <mergeCells count="22">
    <mergeCell ref="A2:B2"/>
    <mergeCell ref="A3:B3"/>
    <mergeCell ref="A4:B4"/>
    <mergeCell ref="C10:J10"/>
    <mergeCell ref="A28:A31"/>
    <mergeCell ref="A10:A11"/>
    <mergeCell ref="B10:B11"/>
    <mergeCell ref="A12:A15"/>
    <mergeCell ref="K20:K23"/>
    <mergeCell ref="K24:K27"/>
    <mergeCell ref="A7:P8"/>
    <mergeCell ref="G62:I62"/>
    <mergeCell ref="A52:A55"/>
    <mergeCell ref="G61:I61"/>
    <mergeCell ref="A16:A19"/>
    <mergeCell ref="A20:A23"/>
    <mergeCell ref="A24:A27"/>
    <mergeCell ref="A32:A35"/>
    <mergeCell ref="A48:A51"/>
    <mergeCell ref="A36:A39"/>
    <mergeCell ref="A40:A43"/>
    <mergeCell ref="A44:A47"/>
  </mergeCells>
  <printOptions horizontalCentered="1" verticalCentered="1"/>
  <pageMargins left="0" right="0" top="0" bottom="0" header="0.35" footer="0.51"/>
  <pageSetup paperSize="9" scale="80" orientation="landscape" r:id="rId1"/>
  <headerFooter alignWithMargins="0">
    <oddHeader>&amp;Rpagina &amp;P</oddHeader>
  </headerFooter>
  <rowBreaks count="1" manualBreakCount="1">
    <brk id="58" max="1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6:N35"/>
  <sheetViews>
    <sheetView topLeftCell="A4" workbookViewId="0">
      <selection activeCell="B13" sqref="B13"/>
    </sheetView>
  </sheetViews>
  <sheetFormatPr defaultRowHeight="14.4"/>
  <cols>
    <col min="1" max="1" width="4.88671875" customWidth="1"/>
    <col min="2" max="2" width="18.6640625" customWidth="1"/>
    <col min="3" max="3" width="13" customWidth="1"/>
    <col min="4" max="4" width="4" customWidth="1"/>
    <col min="5" max="5" width="11.5546875" customWidth="1"/>
    <col min="6" max="6" width="14.109375" customWidth="1"/>
    <col min="7" max="7" width="11.88671875" customWidth="1"/>
    <col min="8" max="8" width="13.88671875" customWidth="1"/>
    <col min="9" max="9" width="10.6640625" customWidth="1"/>
    <col min="10" max="10" width="13.88671875" customWidth="1"/>
    <col min="12" max="12" width="14.33203125" bestFit="1" customWidth="1"/>
    <col min="13" max="13" width="13.33203125" bestFit="1" customWidth="1"/>
    <col min="14" max="14" width="14.33203125" bestFit="1" customWidth="1"/>
  </cols>
  <sheetData>
    <row r="6" spans="1:13" ht="15.6">
      <c r="B6" s="335" t="s">
        <v>65</v>
      </c>
      <c r="C6" s="335"/>
      <c r="D6" s="335"/>
      <c r="E6" s="335"/>
    </row>
    <row r="7" spans="1:13" ht="15" thickBot="1">
      <c r="M7" t="s">
        <v>93</v>
      </c>
    </row>
    <row r="8" spans="1:13" ht="15" thickBot="1">
      <c r="A8" s="137"/>
      <c r="B8" s="138"/>
      <c r="C8" s="138"/>
      <c r="D8" s="138"/>
      <c r="E8" s="339" t="s">
        <v>138</v>
      </c>
      <c r="F8" s="339"/>
      <c r="G8" s="339"/>
      <c r="H8" s="339"/>
      <c r="I8" s="339"/>
      <c r="J8" s="139"/>
    </row>
    <row r="9" spans="1:13" ht="43.5" customHeight="1">
      <c r="A9" s="135" t="s">
        <v>54</v>
      </c>
      <c r="B9" s="136" t="s">
        <v>55</v>
      </c>
      <c r="C9" s="144" t="s">
        <v>56</v>
      </c>
      <c r="D9" s="136"/>
      <c r="E9" s="340">
        <v>2024</v>
      </c>
      <c r="F9" s="341"/>
      <c r="G9" s="342">
        <v>2025</v>
      </c>
      <c r="H9" s="343"/>
      <c r="I9" s="344">
        <v>2026</v>
      </c>
      <c r="J9" s="344"/>
    </row>
    <row r="10" spans="1:13" ht="28.5" customHeight="1">
      <c r="A10" s="71"/>
      <c r="B10" s="66"/>
      <c r="C10" s="66"/>
      <c r="D10" s="66"/>
      <c r="E10" s="65" t="s">
        <v>33</v>
      </c>
      <c r="F10" s="65" t="s">
        <v>95</v>
      </c>
      <c r="G10" s="65" t="s">
        <v>33</v>
      </c>
      <c r="H10" s="65" t="str">
        <f>F10</f>
        <v>dobanda+com</v>
      </c>
      <c r="I10" s="65" t="s">
        <v>33</v>
      </c>
      <c r="J10" s="65" t="str">
        <f>F10</f>
        <v>dobanda+com</v>
      </c>
    </row>
    <row r="11" spans="1:13" hidden="1">
      <c r="A11" s="72">
        <v>1</v>
      </c>
      <c r="B11" s="62" t="e">
        <f>#REF!</f>
        <v>#REF!</v>
      </c>
      <c r="C11" s="141" t="e">
        <f>#REF!</f>
        <v>#REF!</v>
      </c>
      <c r="D11" s="60" t="s">
        <v>62</v>
      </c>
      <c r="E11" s="140">
        <v>0</v>
      </c>
      <c r="F11" s="140">
        <v>0</v>
      </c>
      <c r="G11" s="141">
        <v>0</v>
      </c>
      <c r="H11" s="142">
        <v>0</v>
      </c>
      <c r="I11" s="141">
        <v>0</v>
      </c>
      <c r="J11" s="141">
        <v>0</v>
      </c>
      <c r="M11" s="52"/>
    </row>
    <row r="12" spans="1:13" ht="39" hidden="1" customHeight="1">
      <c r="A12" s="72"/>
      <c r="B12" s="62" t="e">
        <f>#REF!</f>
        <v>#REF!</v>
      </c>
      <c r="C12" s="141"/>
      <c r="D12" s="60"/>
      <c r="E12" s="140"/>
      <c r="F12" s="141"/>
      <c r="G12" s="141"/>
      <c r="H12" s="142"/>
      <c r="I12" s="141"/>
      <c r="J12" s="140"/>
      <c r="L12" s="52"/>
    </row>
    <row r="13" spans="1:13" ht="28.8">
      <c r="A13" s="213">
        <v>1</v>
      </c>
      <c r="B13" s="62" t="str">
        <f>'serv datoriei'!B10</f>
        <v>Credit Eximbank  nr. 4/31.03.2017</v>
      </c>
      <c r="C13" s="141">
        <f>'serv datoriei'!C10</f>
        <v>24596128.539999999</v>
      </c>
      <c r="D13" s="60" t="s">
        <v>62</v>
      </c>
      <c r="E13" s="141">
        <f>'Eximbank 4'!S10</f>
        <v>1667534.138305085</v>
      </c>
      <c r="F13" s="141">
        <f>'Eximbank 4'!S11</f>
        <v>872822.88028997567</v>
      </c>
      <c r="G13" s="141">
        <f>'Eximbank 4'!T10</f>
        <v>1667534.138305085</v>
      </c>
      <c r="H13" s="142">
        <f>'Eximbank 4'!T11</f>
        <v>757383.35192784236</v>
      </c>
      <c r="I13" s="141">
        <f>'Eximbank 4'!U10</f>
        <v>1667534.138305085</v>
      </c>
      <c r="J13" s="141">
        <f>'Eximbank 4'!U11</f>
        <v>644444.9703718574</v>
      </c>
      <c r="L13" s="52"/>
    </row>
    <row r="14" spans="1:13" ht="28.8">
      <c r="A14" s="213">
        <v>2</v>
      </c>
      <c r="B14" s="62" t="str">
        <f>'serv datoriei'!B11</f>
        <v>Credit Eximbank  nr. 85/22.12.2017*</v>
      </c>
      <c r="C14" s="141">
        <f>'serv datoriei'!C11</f>
        <v>22855778.740000002</v>
      </c>
      <c r="D14" s="60" t="s">
        <v>62</v>
      </c>
      <c r="E14" s="141">
        <f>'credit eximbank 85'!R3</f>
        <v>1891512.7200000004</v>
      </c>
      <c r="F14" s="141">
        <f>'credit eximbank 85'!R4</f>
        <v>1434040.9100000001</v>
      </c>
      <c r="G14" s="141">
        <f>'credit eximbank 85'!V3</f>
        <v>1891512.7200000004</v>
      </c>
      <c r="H14" s="142">
        <f>'credit eximbank 85'!V4</f>
        <v>936951.37000000011</v>
      </c>
      <c r="I14" s="141">
        <f>'credit eximbank 85'!W3</f>
        <v>1891512.7200000004</v>
      </c>
      <c r="J14" s="141">
        <f>'credit eximbank 85'!W4</f>
        <v>812678.99000000011</v>
      </c>
      <c r="L14" s="52"/>
    </row>
    <row r="15" spans="1:13" ht="28.8">
      <c r="A15" s="213">
        <v>3</v>
      </c>
      <c r="B15" s="61" t="s">
        <v>125</v>
      </c>
      <c r="C15" s="140">
        <f>'CREDIT ref 7.2 MIO'!E4</f>
        <v>6989583.2999999998</v>
      </c>
      <c r="D15" s="60" t="s">
        <v>62</v>
      </c>
      <c r="E15" s="140">
        <f>'CREDIT ref 7.2 MIO'!L100</f>
        <v>300000</v>
      </c>
      <c r="F15" s="140">
        <f>'CREDIT ref 7.2 MIO'!M100</f>
        <v>484074.19999999995</v>
      </c>
      <c r="G15" s="140">
        <f>'CREDIT ref 7.2 MIO'!L112</f>
        <v>300000</v>
      </c>
      <c r="H15" s="140">
        <f>'CREDIT ref 7.2 MIO'!Q66</f>
        <v>460280.95999999996</v>
      </c>
      <c r="I15" s="140">
        <f>'CREDIT ref 7.2 MIO'!R65</f>
        <v>300000</v>
      </c>
      <c r="J15" s="140">
        <f>'CREDIT ref 7.2 MIO'!R66</f>
        <v>437833.45999999996</v>
      </c>
    </row>
    <row r="16" spans="1:13" ht="28.8">
      <c r="A16" s="213">
        <v>4</v>
      </c>
      <c r="B16" s="61" t="s">
        <v>137</v>
      </c>
      <c r="C16" s="140">
        <v>7500000</v>
      </c>
      <c r="D16" s="60" t="s">
        <v>62</v>
      </c>
      <c r="E16" s="140">
        <f>'credit nou fd UE 7.5 mio'!M7</f>
        <v>312500</v>
      </c>
      <c r="F16" s="140">
        <f>'credit nou fd UE 7.5 mio'!M8</f>
        <v>515135.66168711113</v>
      </c>
      <c r="G16" s="140">
        <f>'credit nou fd UE 7.5 mio'!N7</f>
        <v>750000</v>
      </c>
      <c r="H16" s="140">
        <f>'credit nou fd UE 7.5 mio'!N8</f>
        <v>509637.91666666669</v>
      </c>
      <c r="I16" s="140">
        <f>'credit nou fd UE 7.5 mio'!O7</f>
        <v>750000</v>
      </c>
      <c r="J16" s="140">
        <f>'credit nou fd UE 7.5 mio'!O8</f>
        <v>454279.58333333337</v>
      </c>
    </row>
    <row r="17" spans="1:12">
      <c r="A17" s="72"/>
      <c r="B17" s="60"/>
      <c r="C17" s="140"/>
      <c r="D17" s="60"/>
      <c r="E17" s="140"/>
      <c r="F17" s="140"/>
      <c r="G17" s="140"/>
      <c r="H17" s="140"/>
      <c r="I17" s="140"/>
      <c r="J17" s="140"/>
    </row>
    <row r="18" spans="1:12">
      <c r="A18" s="75"/>
      <c r="C18" s="131"/>
      <c r="E18" s="131"/>
      <c r="F18" s="131"/>
      <c r="G18" s="131"/>
      <c r="H18" s="131"/>
      <c r="I18" s="140"/>
      <c r="J18" s="140"/>
    </row>
    <row r="19" spans="1:12" ht="15" thickBot="1">
      <c r="A19" s="77">
        <v>5</v>
      </c>
      <c r="B19" s="78" t="s">
        <v>63</v>
      </c>
      <c r="C19" s="143">
        <f>C13+C14+C15+C16</f>
        <v>61941490.579999998</v>
      </c>
      <c r="D19" s="78"/>
      <c r="E19" s="143">
        <f t="shared" ref="E19:J19" si="0">E13+E14+E15+E16</f>
        <v>4171546.8583050855</v>
      </c>
      <c r="F19" s="143">
        <f t="shared" si="0"/>
        <v>3306073.6519770869</v>
      </c>
      <c r="G19" s="143">
        <f t="shared" si="0"/>
        <v>4609046.8583050855</v>
      </c>
      <c r="H19" s="143">
        <f t="shared" si="0"/>
        <v>2664253.5985945091</v>
      </c>
      <c r="I19" s="143">
        <f t="shared" si="0"/>
        <v>4609046.8583050855</v>
      </c>
      <c r="J19" s="143">
        <f t="shared" si="0"/>
        <v>2349237.003705191</v>
      </c>
    </row>
    <row r="20" spans="1:12" ht="15" thickBot="1">
      <c r="A20" s="134"/>
      <c r="C20" s="52"/>
      <c r="E20" s="52"/>
      <c r="F20" s="52"/>
      <c r="G20" s="52"/>
      <c r="H20" s="52"/>
      <c r="I20" s="52"/>
    </row>
    <row r="21" spans="1:12">
      <c r="A21" s="67"/>
      <c r="B21" s="68"/>
      <c r="C21" s="68"/>
      <c r="D21" s="68"/>
      <c r="E21" s="68"/>
      <c r="F21" s="68"/>
      <c r="G21" s="336" t="str">
        <f>E8</f>
        <v>Sume de rambursat 2024-2026</v>
      </c>
      <c r="H21" s="336"/>
      <c r="I21" s="337"/>
    </row>
    <row r="22" spans="1:12" ht="43.2">
      <c r="A22" s="69"/>
      <c r="C22" s="66" t="s">
        <v>56</v>
      </c>
      <c r="D22" s="66" t="s">
        <v>57</v>
      </c>
      <c r="E22" s="65" t="s">
        <v>58</v>
      </c>
      <c r="F22" s="65" t="s">
        <v>59</v>
      </c>
      <c r="G22" s="66" t="s">
        <v>33</v>
      </c>
      <c r="H22" s="66" t="s">
        <v>31</v>
      </c>
      <c r="I22" s="70" t="s">
        <v>34</v>
      </c>
    </row>
    <row r="23" spans="1:12" ht="15" thickBot="1">
      <c r="A23" s="81"/>
      <c r="B23" s="66" t="s">
        <v>61</v>
      </c>
      <c r="C23" s="82">
        <v>0</v>
      </c>
      <c r="D23" s="82"/>
      <c r="E23" s="82">
        <v>0</v>
      </c>
      <c r="F23" s="82">
        <v>0</v>
      </c>
      <c r="G23" s="82">
        <v>0</v>
      </c>
      <c r="H23" s="82">
        <v>0</v>
      </c>
      <c r="I23" s="83">
        <v>0</v>
      </c>
    </row>
    <row r="24" spans="1:12" ht="15" thickBot="1">
      <c r="A24" s="84">
        <v>5</v>
      </c>
      <c r="B24" s="85" t="s">
        <v>64</v>
      </c>
      <c r="C24" s="132">
        <f>C19+C23</f>
        <v>61941490.579999998</v>
      </c>
      <c r="D24" s="132">
        <f t="shared" ref="D24:I24" si="1">D19+D23</f>
        <v>0</v>
      </c>
      <c r="E24" s="132">
        <f>E19+E23</f>
        <v>4171546.8583050855</v>
      </c>
      <c r="F24" s="132">
        <f t="shared" si="1"/>
        <v>3306073.6519770869</v>
      </c>
      <c r="G24" s="132">
        <f t="shared" si="1"/>
        <v>4609046.8583050855</v>
      </c>
      <c r="H24" s="132">
        <f t="shared" si="1"/>
        <v>2664253.5985945091</v>
      </c>
      <c r="I24" s="133">
        <f t="shared" si="1"/>
        <v>4609046.8583050855</v>
      </c>
    </row>
    <row r="25" spans="1:12" hidden="1"/>
    <row r="26" spans="1:12">
      <c r="B26" s="338">
        <f>'serv datoriei'!B24:C24</f>
        <v>0</v>
      </c>
      <c r="C26" s="338"/>
    </row>
    <row r="27" spans="1:12">
      <c r="F27" s="48"/>
    </row>
    <row r="28" spans="1:12">
      <c r="F28" s="52"/>
    </row>
    <row r="31" spans="1:12">
      <c r="K31" s="89">
        <f>L31/L33</f>
        <v>5.3374137771307846E-2</v>
      </c>
      <c r="L31" s="52">
        <f>N33</f>
        <v>3306073.6519770869</v>
      </c>
    </row>
    <row r="32" spans="1:12">
      <c r="K32" s="89">
        <f>L32/L33</f>
        <v>6.7346568822352765E-2</v>
      </c>
      <c r="L32" s="52">
        <f>M33</f>
        <v>4171546.8583050855</v>
      </c>
    </row>
    <row r="33" spans="11:14">
      <c r="K33">
        <v>100</v>
      </c>
      <c r="L33" s="52">
        <f>C19</f>
        <v>61941490.579999998</v>
      </c>
      <c r="M33" s="52">
        <f>E19</f>
        <v>4171546.8583050855</v>
      </c>
      <c r="N33" s="52">
        <f>F19</f>
        <v>3306073.6519770869</v>
      </c>
    </row>
    <row r="35" spans="11:14">
      <c r="K35" s="89">
        <v>1</v>
      </c>
      <c r="L35" s="88">
        <f>K32</f>
        <v>6.7346568822352765E-2</v>
      </c>
      <c r="M35" s="88">
        <f>K31</f>
        <v>5.3374137771307846E-2</v>
      </c>
    </row>
  </sheetData>
  <mergeCells count="7">
    <mergeCell ref="B6:E6"/>
    <mergeCell ref="G21:I21"/>
    <mergeCell ref="B26:C26"/>
    <mergeCell ref="E8:I8"/>
    <mergeCell ref="E9:F9"/>
    <mergeCell ref="G9:H9"/>
    <mergeCell ref="I9:J9"/>
  </mergeCells>
  <pageMargins left="0.2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6:O33"/>
  <sheetViews>
    <sheetView workbookViewId="0">
      <selection activeCell="B12" sqref="B12"/>
    </sheetView>
  </sheetViews>
  <sheetFormatPr defaultRowHeight="14.4"/>
  <cols>
    <col min="1" max="1" width="4.88671875" customWidth="1"/>
    <col min="2" max="2" width="18.5546875" customWidth="1"/>
    <col min="3" max="3" width="14.5546875" customWidth="1"/>
    <col min="4" max="4" width="4.109375" customWidth="1"/>
    <col min="5" max="5" width="14.88671875" customWidth="1"/>
    <col min="6" max="6" width="14" customWidth="1"/>
    <col min="7" max="7" width="14.33203125" bestFit="1" customWidth="1"/>
    <col min="8" max="9" width="13.33203125" bestFit="1" customWidth="1"/>
    <col min="10" max="10" width="7.33203125" customWidth="1"/>
    <col min="13" max="13" width="14.33203125" bestFit="1" customWidth="1"/>
    <col min="14" max="14" width="13.33203125" bestFit="1" customWidth="1"/>
    <col min="15" max="15" width="14.33203125" bestFit="1" customWidth="1"/>
  </cols>
  <sheetData>
    <row r="6" spans="1:15" ht="15.6">
      <c r="B6" s="335" t="s">
        <v>65</v>
      </c>
      <c r="C6" s="335"/>
      <c r="D6" s="335"/>
      <c r="E6" s="335"/>
      <c r="F6" s="335"/>
    </row>
    <row r="7" spans="1:15" ht="15" thickBot="1"/>
    <row r="8" spans="1:15">
      <c r="A8" s="67"/>
      <c r="B8" s="68"/>
      <c r="C8" s="68"/>
      <c r="D8" s="68"/>
      <c r="E8" s="68"/>
      <c r="F8" s="68"/>
      <c r="G8" s="202"/>
      <c r="H8" s="345" t="s">
        <v>143</v>
      </c>
      <c r="I8" s="345"/>
      <c r="J8" s="346"/>
    </row>
    <row r="9" spans="1:15" ht="43.5" customHeight="1">
      <c r="A9" s="71" t="s">
        <v>54</v>
      </c>
      <c r="B9" s="66" t="s">
        <v>55</v>
      </c>
      <c r="C9" s="65" t="s">
        <v>56</v>
      </c>
      <c r="D9" s="66"/>
      <c r="E9" s="65" t="s">
        <v>140</v>
      </c>
      <c r="F9" s="65" t="s">
        <v>141</v>
      </c>
      <c r="G9" s="65" t="s">
        <v>142</v>
      </c>
      <c r="H9" s="66" t="s">
        <v>33</v>
      </c>
      <c r="I9" s="66" t="s">
        <v>31</v>
      </c>
      <c r="J9" s="70" t="s">
        <v>87</v>
      </c>
    </row>
    <row r="10" spans="1:15" ht="39" customHeight="1">
      <c r="A10" s="213">
        <v>1</v>
      </c>
      <c r="B10" s="61" t="s">
        <v>80</v>
      </c>
      <c r="C10" s="63">
        <f>'Eximbank 4'!D4</f>
        <v>24596128.539999999</v>
      </c>
      <c r="D10" s="60" t="s">
        <v>62</v>
      </c>
      <c r="E10" s="64">
        <f>C10</f>
        <v>24596128.539999999</v>
      </c>
      <c r="F10" s="64">
        <f>E10-G10</f>
        <v>10700010.720790971</v>
      </c>
      <c r="G10" s="219">
        <f>SUM('Eximbank 4'!D95:D194)</f>
        <v>13896117.819209028</v>
      </c>
      <c r="H10" s="63">
        <f>SUM('Eximbank 4'!D95:D96)</f>
        <v>277922.35638418078</v>
      </c>
      <c r="I10" s="63">
        <f>SUM('Eximbank 4'!F95:F96)</f>
        <v>156489.27800531348</v>
      </c>
      <c r="J10" s="73">
        <v>0</v>
      </c>
      <c r="M10" s="52"/>
    </row>
    <row r="11" spans="1:15" ht="28.8">
      <c r="A11" s="213">
        <v>2</v>
      </c>
      <c r="B11" s="61" t="s">
        <v>88</v>
      </c>
      <c r="C11" s="63">
        <f>'credit eximbank 85'!D197</f>
        <v>22855778.740000002</v>
      </c>
      <c r="D11" s="60" t="s">
        <v>62</v>
      </c>
      <c r="E11" s="63">
        <f>C11</f>
        <v>22855778.740000002</v>
      </c>
      <c r="F11" s="63">
        <f>SUM('credit eximbank 85'!E52:E85)</f>
        <v>5359286.0399999982</v>
      </c>
      <c r="G11" s="63">
        <f>E11-F11</f>
        <v>17496492.700000003</v>
      </c>
      <c r="H11" s="63">
        <f>SUM('credit eximbank 85'!E87:E88)</f>
        <v>315252.12</v>
      </c>
      <c r="I11" s="63">
        <f>SUM('credit eximbank 85'!G87:G88)</f>
        <v>189501.2</v>
      </c>
      <c r="J11" s="73">
        <v>0</v>
      </c>
      <c r="M11" s="52">
        <f>G11-H11</f>
        <v>17181240.580000002</v>
      </c>
      <c r="N11" s="52"/>
      <c r="O11" s="52"/>
    </row>
    <row r="12" spans="1:15" ht="30" customHeight="1">
      <c r="A12" s="213">
        <v>3</v>
      </c>
      <c r="B12" s="61" t="str">
        <f>'serv datoriei 2021-2023'!B15</f>
        <v>Credit Eximbank nr 127/25.08.2020</v>
      </c>
      <c r="C12" s="63">
        <v>7500000</v>
      </c>
      <c r="D12" s="60" t="s">
        <v>62</v>
      </c>
      <c r="E12" s="63">
        <f>C12</f>
        <v>7500000</v>
      </c>
      <c r="F12" s="63">
        <f>7500000-G12</f>
        <v>860416.70000000019</v>
      </c>
      <c r="G12" s="63">
        <f>7500000-810416.7-50000</f>
        <v>6639583.2999999998</v>
      </c>
      <c r="H12" s="63">
        <f>SUM('CREDIT ref 7.2 MIO'!E87:E88)</f>
        <v>50000</v>
      </c>
      <c r="I12" s="63">
        <f>SUM('CREDIT ref 7.2 MIO'!G87:G88)</f>
        <v>82869.119999999995</v>
      </c>
      <c r="J12" s="73">
        <v>0</v>
      </c>
      <c r="M12" s="52">
        <v>7166666.6399999997</v>
      </c>
      <c r="N12" s="48">
        <v>6989583.2999999998</v>
      </c>
      <c r="O12" s="52">
        <f>7500000-N12</f>
        <v>510416.70000000019</v>
      </c>
    </row>
    <row r="13" spans="1:15" ht="30" customHeight="1">
      <c r="A13" s="213">
        <v>4</v>
      </c>
      <c r="B13" s="61" t="str">
        <f>'serv datoriei 2021-2023'!B16</f>
        <v>Credit Eximbank nr 120/19.08.2022</v>
      </c>
      <c r="C13" s="63">
        <v>7500000</v>
      </c>
      <c r="D13" s="60" t="s">
        <v>62</v>
      </c>
      <c r="E13" s="63">
        <f>'credit nou fd UE 7.5 mio'!D14</f>
        <v>0</v>
      </c>
      <c r="F13" s="63">
        <v>0</v>
      </c>
      <c r="G13" s="63">
        <f>E13</f>
        <v>0</v>
      </c>
      <c r="H13" s="63">
        <f>SUM('credit nou fd UE 7.5 mio'!E16:E26)</f>
        <v>0</v>
      </c>
      <c r="I13" s="63">
        <f>SUM('credit nou fd UE 7.5 mio'!F25:F26)</f>
        <v>0</v>
      </c>
      <c r="J13" s="73">
        <v>0</v>
      </c>
      <c r="M13" s="52">
        <v>7166666.6399999997</v>
      </c>
      <c r="N13" s="48">
        <v>6989583.2999999998</v>
      </c>
    </row>
    <row r="14" spans="1:15">
      <c r="A14" s="72"/>
      <c r="B14" s="60"/>
      <c r="C14" s="64"/>
      <c r="D14" s="60"/>
      <c r="E14" s="60"/>
      <c r="F14" s="64"/>
      <c r="G14" s="64"/>
      <c r="H14" s="64"/>
      <c r="I14" s="64"/>
      <c r="J14" s="74"/>
    </row>
    <row r="15" spans="1:15">
      <c r="A15" s="72">
        <v>5</v>
      </c>
      <c r="B15" s="60" t="s">
        <v>60</v>
      </c>
      <c r="C15" s="64">
        <f>C10+C11+C12+C13</f>
        <v>62451907.280000001</v>
      </c>
      <c r="D15" s="60" t="s">
        <v>62</v>
      </c>
      <c r="E15" s="64">
        <f>E10+E11+E12+E13</f>
        <v>54951907.280000001</v>
      </c>
      <c r="F15" s="64">
        <f t="shared" ref="F15:I15" si="0">F10+F11+F12+F13</f>
        <v>16919713.460790969</v>
      </c>
      <c r="G15" s="64">
        <f t="shared" si="0"/>
        <v>38032193.819209032</v>
      </c>
      <c r="H15" s="64">
        <f t="shared" si="0"/>
        <v>643174.47638418083</v>
      </c>
      <c r="I15" s="64">
        <f t="shared" si="0"/>
        <v>428859.59800531348</v>
      </c>
      <c r="J15" s="74">
        <v>0</v>
      </c>
      <c r="N15">
        <v>6739583.2999999998</v>
      </c>
    </row>
    <row r="16" spans="1:15">
      <c r="A16" s="75"/>
      <c r="C16" s="52"/>
      <c r="F16" s="52"/>
      <c r="G16" s="52"/>
      <c r="H16" s="52"/>
      <c r="I16" s="52"/>
      <c r="J16" s="76"/>
      <c r="N16" s="48">
        <v>25000</v>
      </c>
    </row>
    <row r="17" spans="1:15" ht="15" thickBot="1">
      <c r="A17" s="77">
        <v>5</v>
      </c>
      <c r="B17" s="78" t="s">
        <v>63</v>
      </c>
      <c r="C17" s="79">
        <f>C14*D24+C15</f>
        <v>62451907.280000001</v>
      </c>
      <c r="D17" s="78" t="s">
        <v>62</v>
      </c>
      <c r="E17" s="79">
        <f>E14*F24+E15</f>
        <v>54951907.280000001</v>
      </c>
      <c r="F17" s="79">
        <f>F14*$D$24+F15</f>
        <v>16919713.460790969</v>
      </c>
      <c r="G17" s="79">
        <f>G14*$D$24+G15</f>
        <v>38032193.819209032</v>
      </c>
      <c r="H17" s="79">
        <f>H14*$D$24+H15</f>
        <v>643174.47638418083</v>
      </c>
      <c r="I17" s="79">
        <f>I14*$D$24+I15</f>
        <v>428859.59800531348</v>
      </c>
      <c r="J17" s="80">
        <f>J14*$D$24+J15</f>
        <v>0</v>
      </c>
      <c r="N17" s="52">
        <f>N15-N16</f>
        <v>6714583.2999999998</v>
      </c>
    </row>
    <row r="18" spans="1:15" ht="15" thickBot="1">
      <c r="A18" s="134"/>
      <c r="C18" s="52"/>
      <c r="F18" s="52"/>
      <c r="G18" s="52"/>
      <c r="H18" s="52"/>
      <c r="I18" s="52"/>
      <c r="J18" s="52"/>
    </row>
    <row r="19" spans="1:15">
      <c r="A19" s="203" t="s">
        <v>89</v>
      </c>
      <c r="B19" s="68"/>
      <c r="C19" s="68"/>
      <c r="D19" s="68"/>
      <c r="E19" s="68"/>
      <c r="F19" s="68"/>
      <c r="G19" s="68"/>
      <c r="H19" s="146">
        <f>G8</f>
        <v>0</v>
      </c>
      <c r="I19" s="146"/>
      <c r="J19" s="147"/>
    </row>
    <row r="20" spans="1:15" ht="28.8">
      <c r="A20" s="69"/>
      <c r="B20" s="66" t="s">
        <v>61</v>
      </c>
      <c r="C20" s="66" t="s">
        <v>56</v>
      </c>
      <c r="D20" s="66" t="s">
        <v>57</v>
      </c>
      <c r="E20" s="66"/>
      <c r="F20" s="65" t="s">
        <v>58</v>
      </c>
      <c r="G20" s="65" t="s">
        <v>59</v>
      </c>
      <c r="H20" s="66" t="s">
        <v>33</v>
      </c>
      <c r="I20" s="66" t="s">
        <v>31</v>
      </c>
      <c r="J20" s="70" t="s">
        <v>34</v>
      </c>
    </row>
    <row r="21" spans="1:15" ht="15" thickBot="1">
      <c r="A21" s="81"/>
      <c r="B21" s="82"/>
      <c r="C21" s="82">
        <v>0</v>
      </c>
      <c r="D21" s="82"/>
      <c r="E21" s="82"/>
      <c r="F21" s="82">
        <v>0</v>
      </c>
      <c r="G21" s="82">
        <v>0</v>
      </c>
      <c r="H21" s="82">
        <v>0</v>
      </c>
      <c r="I21" s="82">
        <v>0</v>
      </c>
      <c r="J21" s="83">
        <v>0</v>
      </c>
    </row>
    <row r="22" spans="1:15" ht="15" thickBot="1">
      <c r="A22" s="84">
        <v>6</v>
      </c>
      <c r="B22" s="85" t="s">
        <v>64</v>
      </c>
      <c r="C22" s="86">
        <f>C17+C21</f>
        <v>62451907.280000001</v>
      </c>
      <c r="D22" s="86" t="s">
        <v>62</v>
      </c>
      <c r="E22" s="86"/>
      <c r="F22" s="86">
        <f>F17+F21</f>
        <v>16919713.460790969</v>
      </c>
      <c r="G22" s="86">
        <f t="shared" ref="G22:J22" si="1">G17+G21</f>
        <v>38032193.819209032</v>
      </c>
      <c r="H22" s="86">
        <f t="shared" si="1"/>
        <v>643174.47638418083</v>
      </c>
      <c r="I22" s="86">
        <f t="shared" si="1"/>
        <v>428859.59800531348</v>
      </c>
      <c r="J22" s="87">
        <f t="shared" si="1"/>
        <v>0</v>
      </c>
    </row>
    <row r="23" spans="1:15" ht="15" hidden="1" customHeight="1"/>
    <row r="24" spans="1:15">
      <c r="B24" s="134"/>
      <c r="C24" s="134"/>
    </row>
    <row r="29" spans="1:15">
      <c r="L29" s="89">
        <f>M29/M31</f>
        <v>0.60898370403154534</v>
      </c>
      <c r="M29" s="52">
        <f>O31</f>
        <v>38032193.819209032</v>
      </c>
    </row>
    <row r="30" spans="1:15">
      <c r="L30" s="89">
        <f>M30/M31</f>
        <v>0.27092388683875229</v>
      </c>
      <c r="M30" s="52">
        <f>N31</f>
        <v>16919713.460790969</v>
      </c>
    </row>
    <row r="31" spans="1:15">
      <c r="L31">
        <v>100</v>
      </c>
      <c r="M31" s="52">
        <f>C17</f>
        <v>62451907.280000001</v>
      </c>
      <c r="N31" s="52">
        <f>F17</f>
        <v>16919713.460790969</v>
      </c>
      <c r="O31" s="52">
        <f>G17</f>
        <v>38032193.819209032</v>
      </c>
    </row>
    <row r="33" spans="12:14">
      <c r="L33" s="89">
        <v>1</v>
      </c>
      <c r="M33" s="88">
        <f>L30</f>
        <v>0.27092388683875229</v>
      </c>
      <c r="N33" s="88">
        <f>L29</f>
        <v>0.60898370403154534</v>
      </c>
    </row>
  </sheetData>
  <mergeCells count="2">
    <mergeCell ref="B6:F6"/>
    <mergeCell ref="H8:J8"/>
  </mergeCells>
  <pageMargins left="0.2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X36"/>
  <sheetViews>
    <sheetView view="pageBreakPreview" topLeftCell="A4" zoomScale="85" zoomScaleNormal="100" zoomScaleSheetLayoutView="85" workbookViewId="0">
      <selection activeCell="S15" sqref="S15"/>
    </sheetView>
  </sheetViews>
  <sheetFormatPr defaultColWidth="9.109375" defaultRowHeight="13.2"/>
  <cols>
    <col min="1" max="1" width="3.6640625" style="1" customWidth="1"/>
    <col min="2" max="2" width="24.6640625" style="2" customWidth="1"/>
    <col min="3" max="3" width="10.5546875" style="2" hidden="1" customWidth="1"/>
    <col min="4" max="4" width="10.6640625" style="2" hidden="1" customWidth="1"/>
    <col min="5" max="5" width="10.44140625" style="2" hidden="1" customWidth="1"/>
    <col min="6" max="6" width="10.44140625" style="2" customWidth="1"/>
    <col min="7" max="12" width="10.33203125" style="2" customWidth="1"/>
    <col min="13" max="13" width="9.33203125" style="2" customWidth="1"/>
    <col min="14" max="17" width="10.33203125" style="2" customWidth="1"/>
    <col min="18" max="18" width="8" style="2" hidden="1" customWidth="1"/>
    <col min="19" max="23" width="13" style="2" customWidth="1"/>
    <col min="24" max="25" width="11.44140625" style="2" bestFit="1" customWidth="1"/>
    <col min="26" max="26" width="9.109375" style="2"/>
    <col min="27" max="28" width="11.6640625" style="2" bestFit="1" customWidth="1"/>
    <col min="29" max="29" width="10.5546875" style="2" bestFit="1" customWidth="1"/>
    <col min="30" max="16384" width="9.109375" style="2"/>
  </cols>
  <sheetData>
    <row r="1" spans="1:24" ht="18" customHeight="1">
      <c r="A1" s="298" t="s">
        <v>47</v>
      </c>
      <c r="B1" s="298"/>
      <c r="N1" s="306"/>
      <c r="O1" s="306"/>
    </row>
    <row r="2" spans="1:24" ht="12.75" customHeight="1">
      <c r="A2" s="298" t="s">
        <v>48</v>
      </c>
      <c r="B2" s="298"/>
    </row>
    <row r="3" spans="1:24" ht="12.75" customHeight="1">
      <c r="A3" s="298" t="s">
        <v>49</v>
      </c>
      <c r="B3" s="298"/>
      <c r="L3" s="55"/>
      <c r="O3" s="208" t="s">
        <v>123</v>
      </c>
    </row>
    <row r="4" spans="1:24">
      <c r="A4" s="298"/>
      <c r="B4" s="298"/>
      <c r="L4" s="55"/>
    </row>
    <row r="5" spans="1:24" ht="12.75" customHeight="1">
      <c r="D5" s="307"/>
      <c r="E5" s="307"/>
      <c r="F5" s="307"/>
      <c r="G5" s="307"/>
      <c r="H5" s="307"/>
      <c r="I5" s="307"/>
      <c r="J5" s="307"/>
      <c r="L5" s="55"/>
    </row>
    <row r="6" spans="1:24" ht="16.5" customHeight="1">
      <c r="D6" s="307"/>
      <c r="E6" s="307"/>
      <c r="F6" s="307"/>
      <c r="G6" s="307"/>
      <c r="H6" s="307"/>
      <c r="I6" s="307"/>
      <c r="J6" s="307"/>
    </row>
    <row r="7" spans="1:24">
      <c r="D7" s="307"/>
      <c r="E7" s="307"/>
      <c r="F7" s="307"/>
      <c r="G7" s="307"/>
      <c r="H7" s="307"/>
      <c r="I7" s="307"/>
      <c r="J7" s="307"/>
    </row>
    <row r="8" spans="1:24">
      <c r="C8" s="3"/>
      <c r="D8" s="5"/>
      <c r="E8" s="5"/>
      <c r="F8" s="5"/>
      <c r="G8" s="5"/>
      <c r="H8" s="5"/>
      <c r="I8" s="5"/>
      <c r="J8" s="5"/>
    </row>
    <row r="9" spans="1:24">
      <c r="D9" s="5"/>
      <c r="E9" s="5"/>
      <c r="F9" s="5"/>
      <c r="G9" s="5"/>
      <c r="H9" s="5"/>
      <c r="I9" s="5"/>
      <c r="J9" s="5"/>
    </row>
    <row r="10" spans="1:24">
      <c r="D10" s="5"/>
      <c r="E10" s="5"/>
      <c r="F10" s="5"/>
      <c r="G10" s="5"/>
      <c r="H10" s="5"/>
      <c r="I10" s="5"/>
      <c r="J10" s="5"/>
    </row>
    <row r="11" spans="1:24" ht="17.399999999999999">
      <c r="A11" s="305" t="s">
        <v>122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</row>
    <row r="12" spans="1:24" ht="16.8">
      <c r="A12" s="304" t="s">
        <v>128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</row>
    <row r="13" spans="1:24" ht="17.399999999999999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</row>
    <row r="15" spans="1:24" ht="12.75" customHeight="1">
      <c r="A15" s="299" t="s">
        <v>0</v>
      </c>
      <c r="B15" s="300" t="s">
        <v>1</v>
      </c>
      <c r="C15" s="301" t="s">
        <v>71</v>
      </c>
      <c r="D15" s="301" t="s">
        <v>90</v>
      </c>
      <c r="E15" s="301" t="s">
        <v>94</v>
      </c>
      <c r="F15" s="347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122"/>
      <c r="T15" s="122"/>
      <c r="U15" s="122"/>
    </row>
    <row r="16" spans="1:24" ht="26.25" customHeight="1">
      <c r="A16" s="299"/>
      <c r="B16" s="300"/>
      <c r="C16" s="302"/>
      <c r="D16" s="302"/>
      <c r="E16" s="302"/>
      <c r="F16" s="349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123"/>
      <c r="T16" s="123"/>
      <c r="U16" s="123"/>
      <c r="V16" s="4"/>
      <c r="W16" s="4"/>
      <c r="X16" s="4"/>
    </row>
    <row r="17" spans="1:24">
      <c r="A17" s="299"/>
      <c r="B17" s="300"/>
      <c r="C17" s="302"/>
      <c r="D17" s="302"/>
      <c r="E17" s="302"/>
      <c r="F17" s="351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124"/>
      <c r="T17" s="124"/>
      <c r="U17" s="124"/>
      <c r="V17" s="124"/>
      <c r="W17" s="4"/>
      <c r="X17" s="4"/>
    </row>
    <row r="18" spans="1:24">
      <c r="A18" s="299"/>
      <c r="B18" s="300"/>
      <c r="C18" s="303"/>
      <c r="D18" s="303"/>
      <c r="E18" s="303"/>
      <c r="F18" s="125">
        <v>2024</v>
      </c>
      <c r="G18" s="204">
        <f>F18+1</f>
        <v>2025</v>
      </c>
      <c r="H18" s="204">
        <f t="shared" ref="H18:R19" si="0">G18+1</f>
        <v>2026</v>
      </c>
      <c r="I18" s="204">
        <f t="shared" si="0"/>
        <v>2027</v>
      </c>
      <c r="J18" s="204">
        <f t="shared" si="0"/>
        <v>2028</v>
      </c>
      <c r="K18" s="204">
        <f t="shared" si="0"/>
        <v>2029</v>
      </c>
      <c r="L18" s="204">
        <f t="shared" si="0"/>
        <v>2030</v>
      </c>
      <c r="M18" s="204">
        <f t="shared" si="0"/>
        <v>2031</v>
      </c>
      <c r="N18" s="204">
        <f t="shared" si="0"/>
        <v>2032</v>
      </c>
      <c r="O18" s="204">
        <f t="shared" si="0"/>
        <v>2033</v>
      </c>
      <c r="P18" s="204">
        <f t="shared" si="0"/>
        <v>2034</v>
      </c>
      <c r="Q18" s="204">
        <f t="shared" si="0"/>
        <v>2035</v>
      </c>
      <c r="R18" s="204">
        <f t="shared" si="0"/>
        <v>2036</v>
      </c>
      <c r="S18" s="5"/>
    </row>
    <row r="19" spans="1:24">
      <c r="A19" s="117">
        <v>0</v>
      </c>
      <c r="B19" s="118" t="s">
        <v>3</v>
      </c>
      <c r="C19" s="118">
        <v>1</v>
      </c>
      <c r="D19" s="118">
        <v>2</v>
      </c>
      <c r="E19" s="118">
        <v>3</v>
      </c>
      <c r="F19" s="118">
        <v>4</v>
      </c>
      <c r="G19" s="118">
        <f>F19+1</f>
        <v>5</v>
      </c>
      <c r="H19" s="118">
        <f t="shared" si="0"/>
        <v>6</v>
      </c>
      <c r="I19" s="118">
        <f t="shared" si="0"/>
        <v>7</v>
      </c>
      <c r="J19" s="118">
        <f t="shared" si="0"/>
        <v>8</v>
      </c>
      <c r="K19" s="118">
        <f t="shared" si="0"/>
        <v>9</v>
      </c>
      <c r="L19" s="118">
        <f t="shared" si="0"/>
        <v>10</v>
      </c>
      <c r="M19" s="118">
        <f t="shared" si="0"/>
        <v>11</v>
      </c>
      <c r="N19" s="118">
        <f t="shared" si="0"/>
        <v>12</v>
      </c>
      <c r="O19" s="118">
        <f t="shared" si="0"/>
        <v>13</v>
      </c>
      <c r="P19" s="118">
        <f t="shared" si="0"/>
        <v>14</v>
      </c>
      <c r="Q19" s="118">
        <f t="shared" si="0"/>
        <v>15</v>
      </c>
      <c r="R19" s="118">
        <f t="shared" si="0"/>
        <v>16</v>
      </c>
      <c r="S19" s="5"/>
    </row>
    <row r="20" spans="1:24">
      <c r="A20" s="117">
        <v>1</v>
      </c>
      <c r="B20" s="6" t="s">
        <v>4</v>
      </c>
      <c r="C20" s="7" t="e">
        <f>'grad indatorare'!#REF!/1000</f>
        <v>#REF!</v>
      </c>
      <c r="D20" s="7">
        <f>'grad indatorare'!C19/1000</f>
        <v>42354.987529999999</v>
      </c>
      <c r="E20" s="7">
        <f>'grad indatorare'!D19/1000</f>
        <v>45838.294089999989</v>
      </c>
      <c r="F20" s="7" t="e">
        <f>SUM($C$20:$E$20)/3</f>
        <v>#REF!</v>
      </c>
      <c r="G20" s="145" t="e">
        <f>F20</f>
        <v>#REF!</v>
      </c>
      <c r="H20" s="145" t="e">
        <f t="shared" ref="H20:R21" si="1">G20</f>
        <v>#REF!</v>
      </c>
      <c r="I20" s="145" t="e">
        <f t="shared" si="1"/>
        <v>#REF!</v>
      </c>
      <c r="J20" s="145" t="e">
        <f t="shared" si="1"/>
        <v>#REF!</v>
      </c>
      <c r="K20" s="145" t="e">
        <f t="shared" si="1"/>
        <v>#REF!</v>
      </c>
      <c r="L20" s="145" t="e">
        <f t="shared" si="1"/>
        <v>#REF!</v>
      </c>
      <c r="M20" s="145" t="e">
        <f t="shared" si="1"/>
        <v>#REF!</v>
      </c>
      <c r="N20" s="145" t="e">
        <f t="shared" si="1"/>
        <v>#REF!</v>
      </c>
      <c r="O20" s="145" t="e">
        <f t="shared" si="1"/>
        <v>#REF!</v>
      </c>
      <c r="P20" s="145" t="e">
        <f t="shared" si="1"/>
        <v>#REF!</v>
      </c>
      <c r="Q20" s="145" t="e">
        <f t="shared" si="1"/>
        <v>#REF!</v>
      </c>
      <c r="R20" s="145" t="e">
        <f t="shared" si="1"/>
        <v>#REF!</v>
      </c>
      <c r="S20" s="8"/>
      <c r="T20" s="8"/>
      <c r="U20" s="8"/>
      <c r="V20" s="8"/>
      <c r="W20" s="8"/>
    </row>
    <row r="21" spans="1:24" ht="26.4">
      <c r="A21" s="117">
        <v>2</v>
      </c>
      <c r="B21" s="9" t="s">
        <v>53</v>
      </c>
      <c r="C21" s="7" t="e">
        <f>C20*0.3</f>
        <v>#REF!</v>
      </c>
      <c r="D21" s="7">
        <f>D20*0.3</f>
        <v>12706.496259</v>
      </c>
      <c r="E21" s="7">
        <f>E20*0.3</f>
        <v>13751.488226999996</v>
      </c>
      <c r="F21" s="145" t="e">
        <f>F20*0.3</f>
        <v>#REF!</v>
      </c>
      <c r="G21" s="145" t="e">
        <f>F21</f>
        <v>#REF!</v>
      </c>
      <c r="H21" s="145" t="e">
        <f t="shared" si="1"/>
        <v>#REF!</v>
      </c>
      <c r="I21" s="145" t="e">
        <f t="shared" si="1"/>
        <v>#REF!</v>
      </c>
      <c r="J21" s="145" t="e">
        <f t="shared" si="1"/>
        <v>#REF!</v>
      </c>
      <c r="K21" s="145" t="e">
        <f t="shared" si="1"/>
        <v>#REF!</v>
      </c>
      <c r="L21" s="145" t="e">
        <f t="shared" si="1"/>
        <v>#REF!</v>
      </c>
      <c r="M21" s="145" t="e">
        <f t="shared" si="1"/>
        <v>#REF!</v>
      </c>
      <c r="N21" s="145" t="e">
        <f t="shared" si="1"/>
        <v>#REF!</v>
      </c>
      <c r="O21" s="145" t="e">
        <f t="shared" si="1"/>
        <v>#REF!</v>
      </c>
      <c r="P21" s="145" t="e">
        <f t="shared" si="1"/>
        <v>#REF!</v>
      </c>
      <c r="Q21" s="145" t="e">
        <f t="shared" si="1"/>
        <v>#REF!</v>
      </c>
      <c r="R21" s="145" t="e">
        <f t="shared" si="1"/>
        <v>#REF!</v>
      </c>
    </row>
    <row r="22" spans="1:24" ht="39.6">
      <c r="A22" s="117">
        <v>3</v>
      </c>
      <c r="B22" s="9" t="s">
        <v>50</v>
      </c>
      <c r="C22" s="7"/>
      <c r="D22" s="7"/>
      <c r="E22" s="7"/>
      <c r="F22" s="7" t="e">
        <f>SUM(F23:F25)</f>
        <v>#REF!</v>
      </c>
      <c r="G22" s="145" t="e">
        <f t="shared" ref="G22:Q22" si="2">SUM(G23:G25)</f>
        <v>#REF!</v>
      </c>
      <c r="H22" s="145" t="e">
        <f>SUM(H23:H25)</f>
        <v>#REF!</v>
      </c>
      <c r="I22" s="145" t="e">
        <f t="shared" si="2"/>
        <v>#REF!</v>
      </c>
      <c r="J22" s="145" t="e">
        <f t="shared" si="2"/>
        <v>#REF!</v>
      </c>
      <c r="K22" s="145" t="e">
        <f t="shared" si="2"/>
        <v>#REF!</v>
      </c>
      <c r="L22" s="145" t="e">
        <f t="shared" si="2"/>
        <v>#REF!</v>
      </c>
      <c r="M22" s="145" t="e">
        <f t="shared" si="2"/>
        <v>#REF!</v>
      </c>
      <c r="N22" s="145" t="e">
        <f t="shared" si="2"/>
        <v>#REF!</v>
      </c>
      <c r="O22" s="145" t="e">
        <f t="shared" si="2"/>
        <v>#REF!</v>
      </c>
      <c r="P22" s="145" t="e">
        <f t="shared" si="2"/>
        <v>#REF!</v>
      </c>
      <c r="Q22" s="145" t="e">
        <f t="shared" si="2"/>
        <v>#REF!</v>
      </c>
      <c r="R22" s="145" t="e">
        <f t="shared" ref="R22" si="3">SUM(R23:R25)</f>
        <v>#REF!</v>
      </c>
      <c r="S22" s="10" t="e">
        <f>SUM(F22:R22)</f>
        <v>#REF!</v>
      </c>
      <c r="T22" s="10"/>
      <c r="U22" s="10"/>
      <c r="V22" s="10"/>
    </row>
    <row r="23" spans="1:24">
      <c r="A23" s="117">
        <v>4</v>
      </c>
      <c r="B23" s="9" t="s">
        <v>46</v>
      </c>
      <c r="C23" s="7"/>
      <c r="D23" s="7"/>
      <c r="E23" s="7"/>
      <c r="F23" s="7" t="e">
        <f>'centralizare credite'!#REF!/1000</f>
        <v>#REF!</v>
      </c>
      <c r="G23" s="7" t="e">
        <f>'centralizare credite'!#REF!/1000</f>
        <v>#REF!</v>
      </c>
      <c r="H23" s="7" t="e">
        <f>'centralizare credite'!#REF!/1000</f>
        <v>#REF!</v>
      </c>
      <c r="I23" s="7" t="e">
        <f>'centralizare credite'!#REF!/1000</f>
        <v>#REF!</v>
      </c>
      <c r="J23" s="7" t="e">
        <f>'centralizare credite'!#REF!/1000</f>
        <v>#REF!</v>
      </c>
      <c r="K23" s="7" t="e">
        <f>'centralizare credite'!#REF!/1000</f>
        <v>#REF!</v>
      </c>
      <c r="L23" s="7" t="e">
        <f>'centralizare credite'!#REF!/1000</f>
        <v>#REF!</v>
      </c>
      <c r="M23" s="7" t="e">
        <f>'centralizare credite'!#REF!/1000</f>
        <v>#REF!</v>
      </c>
      <c r="N23" s="7" t="e">
        <f>'centralizare credite'!#REF!/1000</f>
        <v>#REF!</v>
      </c>
      <c r="O23" s="7" t="e">
        <f>'centralizare credite'!#REF!/1000</f>
        <v>#REF!</v>
      </c>
      <c r="P23" s="7" t="e">
        <f>'centralizare credite'!#REF!/1000</f>
        <v>#REF!</v>
      </c>
      <c r="Q23" s="7" t="e">
        <f>'centralizare credite'!#REF!/1000</f>
        <v>#REF!</v>
      </c>
      <c r="R23" s="7" t="e">
        <f>'centralizare credite'!#REF!/1000</f>
        <v>#REF!</v>
      </c>
      <c r="T23" s="10"/>
      <c r="U23" s="10"/>
      <c r="V23" s="10"/>
    </row>
    <row r="24" spans="1:24">
      <c r="A24" s="117">
        <v>5</v>
      </c>
      <c r="B24" s="9" t="s">
        <v>8</v>
      </c>
      <c r="C24" s="7"/>
      <c r="D24" s="7"/>
      <c r="E24" s="7"/>
      <c r="F24" s="7" t="e">
        <f>'centralizare credite'!#REF!/1000</f>
        <v>#REF!</v>
      </c>
      <c r="G24" s="7" t="e">
        <f>'centralizare credite'!#REF!/1000</f>
        <v>#REF!</v>
      </c>
      <c r="H24" s="7" t="e">
        <f>'centralizare credite'!#REF!/1000</f>
        <v>#REF!</v>
      </c>
      <c r="I24" s="7" t="e">
        <f>'centralizare credite'!#REF!/1000</f>
        <v>#REF!</v>
      </c>
      <c r="J24" s="7" t="e">
        <f>'centralizare credite'!#REF!/1000</f>
        <v>#REF!</v>
      </c>
      <c r="K24" s="7" t="e">
        <f>'centralizare credite'!#REF!/1000</f>
        <v>#REF!</v>
      </c>
      <c r="L24" s="7" t="e">
        <f>'centralizare credite'!#REF!/1000</f>
        <v>#REF!</v>
      </c>
      <c r="M24" s="7" t="e">
        <f>'centralizare credite'!#REF!/1000</f>
        <v>#REF!</v>
      </c>
      <c r="N24" s="7" t="e">
        <f>'centralizare credite'!#REF!/1000</f>
        <v>#REF!</v>
      </c>
      <c r="O24" s="7" t="e">
        <f>'centralizare credite'!#REF!/1000</f>
        <v>#REF!</v>
      </c>
      <c r="P24" s="7" t="e">
        <f>'centralizare credite'!#REF!/1000</f>
        <v>#REF!</v>
      </c>
      <c r="Q24" s="7" t="e">
        <f>'centralizare credite'!#REF!/1000</f>
        <v>#REF!</v>
      </c>
      <c r="R24" s="7" t="e">
        <f>'centralizare credite'!#REF!/1000</f>
        <v>#REF!</v>
      </c>
      <c r="S24" s="10" t="e">
        <f>SUM(F24:P24)</f>
        <v>#REF!</v>
      </c>
      <c r="T24" s="10"/>
      <c r="U24" s="10"/>
      <c r="V24" s="10"/>
    </row>
    <row r="25" spans="1:24">
      <c r="A25" s="117">
        <v>6</v>
      </c>
      <c r="B25" s="9" t="s">
        <v>9</v>
      </c>
      <c r="C25" s="7"/>
      <c r="D25" s="7"/>
      <c r="E25" s="7"/>
      <c r="F25" s="7" t="e">
        <f>'centralizare credite'!#REF!/1000</f>
        <v>#REF!</v>
      </c>
      <c r="G25" s="7" t="e">
        <f>'centralizare credite'!#REF!/1000</f>
        <v>#REF!</v>
      </c>
      <c r="H25" s="7" t="e">
        <f>'centralizare credite'!#REF!/1000</f>
        <v>#REF!</v>
      </c>
      <c r="I25" s="7" t="e">
        <f>'centralizare credite'!#REF!/1000</f>
        <v>#REF!</v>
      </c>
      <c r="J25" s="7" t="e">
        <f>'centralizare credite'!#REF!/1000</f>
        <v>#REF!</v>
      </c>
      <c r="K25" s="7" t="e">
        <f>'centralizare credite'!#REF!/1000</f>
        <v>#REF!</v>
      </c>
      <c r="L25" s="7" t="e">
        <f>'centralizare credite'!#REF!/1000</f>
        <v>#REF!</v>
      </c>
      <c r="M25" s="7" t="e">
        <f>'centralizare credite'!#REF!/1000</f>
        <v>#REF!</v>
      </c>
      <c r="N25" s="7" t="e">
        <f>'centralizare credite'!#REF!/1000</f>
        <v>#REF!</v>
      </c>
      <c r="O25" s="7" t="e">
        <f>'centralizare credite'!#REF!/1000</f>
        <v>#REF!</v>
      </c>
      <c r="P25" s="7" t="e">
        <f>'centralizare credite'!#REF!/1000</f>
        <v>#REF!</v>
      </c>
      <c r="Q25" s="7" t="e">
        <f>'centralizare credite'!#REF!/1000</f>
        <v>#REF!</v>
      </c>
      <c r="R25" s="7" t="e">
        <f>'centralizare credite'!#REF!/1000</f>
        <v>#REF!</v>
      </c>
      <c r="T25" s="10"/>
      <c r="U25" s="10"/>
      <c r="V25" s="10"/>
    </row>
    <row r="26" spans="1:24" ht="39.6">
      <c r="A26" s="126">
        <v>7</v>
      </c>
      <c r="B26" s="207" t="s">
        <v>10</v>
      </c>
      <c r="C26" s="127"/>
      <c r="D26" s="127"/>
      <c r="E26" s="127"/>
      <c r="F26" s="128" t="e">
        <f>F22/F20</f>
        <v>#REF!</v>
      </c>
      <c r="G26" s="128" t="e">
        <f t="shared" ref="G26:Q26" si="4">G22/G20</f>
        <v>#REF!</v>
      </c>
      <c r="H26" s="128" t="e">
        <f>H22/H20</f>
        <v>#REF!</v>
      </c>
      <c r="I26" s="128" t="e">
        <f t="shared" si="4"/>
        <v>#REF!</v>
      </c>
      <c r="J26" s="128" t="e">
        <f t="shared" si="4"/>
        <v>#REF!</v>
      </c>
      <c r="K26" s="128" t="e">
        <f t="shared" si="4"/>
        <v>#REF!</v>
      </c>
      <c r="L26" s="128" t="e">
        <f t="shared" si="4"/>
        <v>#REF!</v>
      </c>
      <c r="M26" s="128" t="e">
        <f t="shared" si="4"/>
        <v>#REF!</v>
      </c>
      <c r="N26" s="128" t="e">
        <f t="shared" si="4"/>
        <v>#REF!</v>
      </c>
      <c r="O26" s="128" t="e">
        <f t="shared" si="4"/>
        <v>#REF!</v>
      </c>
      <c r="P26" s="128" t="e">
        <f t="shared" si="4"/>
        <v>#REF!</v>
      </c>
      <c r="Q26" s="128" t="e">
        <f t="shared" si="4"/>
        <v>#REF!</v>
      </c>
      <c r="R26" s="128" t="e">
        <f t="shared" ref="R26" si="5">R22/R20</f>
        <v>#REF!</v>
      </c>
    </row>
    <row r="27" spans="1:24" ht="26.4" hidden="1">
      <c r="A27" s="117">
        <v>8</v>
      </c>
      <c r="B27" s="9" t="s">
        <v>52</v>
      </c>
    </row>
    <row r="28" spans="1:24"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</row>
    <row r="29" spans="1:24"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</row>
    <row r="30" spans="1:24" ht="12.75" customHeight="1">
      <c r="A30" s="311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</row>
    <row r="31" spans="1:24" ht="12.75" customHeight="1">
      <c r="A31" s="311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</row>
    <row r="32" spans="1:24" ht="12.75" customHeight="1">
      <c r="A32" s="312"/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</row>
    <row r="33" spans="1:15" ht="12.75" customHeight="1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</row>
    <row r="34" spans="1:15">
      <c r="C34" s="119"/>
      <c r="D34" s="353"/>
      <c r="E34" s="353"/>
      <c r="F34" s="353"/>
      <c r="G34" s="119"/>
      <c r="H34" s="310"/>
      <c r="I34" s="310"/>
      <c r="J34" s="310"/>
    </row>
    <row r="35" spans="1:15">
      <c r="C35" s="119"/>
      <c r="D35" s="353"/>
      <c r="E35" s="353"/>
      <c r="F35" s="353"/>
      <c r="G35" s="119"/>
      <c r="H35" s="119"/>
      <c r="I35" s="119"/>
      <c r="J35" s="119"/>
    </row>
    <row r="36" spans="1:15">
      <c r="C36" s="120"/>
      <c r="D36" s="310"/>
      <c r="E36" s="310"/>
      <c r="F36" s="310"/>
      <c r="G36" s="120"/>
      <c r="H36" s="310"/>
      <c r="I36" s="310"/>
      <c r="J36" s="310"/>
    </row>
  </sheetData>
  <mergeCells count="22">
    <mergeCell ref="D36:F36"/>
    <mergeCell ref="H36:J36"/>
    <mergeCell ref="A30:O30"/>
    <mergeCell ref="A31:O31"/>
    <mergeCell ref="A32:O32"/>
    <mergeCell ref="D34:F34"/>
    <mergeCell ref="H34:J34"/>
    <mergeCell ref="D35:F35"/>
    <mergeCell ref="A11:R11"/>
    <mergeCell ref="A12:R12"/>
    <mergeCell ref="A15:A18"/>
    <mergeCell ref="B15:B18"/>
    <mergeCell ref="C15:C18"/>
    <mergeCell ref="D15:D18"/>
    <mergeCell ref="E15:E18"/>
    <mergeCell ref="F15:R17"/>
    <mergeCell ref="D5:J7"/>
    <mergeCell ref="A1:B1"/>
    <mergeCell ref="N1:O1"/>
    <mergeCell ref="A2:B2"/>
    <mergeCell ref="A3:B3"/>
    <mergeCell ref="A4:B4"/>
  </mergeCells>
  <pageMargins left="0.5" right="0" top="0.59055118110236204" bottom="0.39370078740157499" header="0.511811023622047" footer="0.511811023622047"/>
  <pageSetup scale="81" orientation="landscape" r:id="rId1"/>
  <headerFooter alignWithMargins="0">
    <oddFooter>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Z25"/>
  <sheetViews>
    <sheetView topLeftCell="A19" workbookViewId="0">
      <selection activeCell="J47" sqref="J47"/>
    </sheetView>
  </sheetViews>
  <sheetFormatPr defaultColWidth="9.109375" defaultRowHeight="13.2"/>
  <cols>
    <col min="1" max="2" width="9.109375" style="116"/>
    <col min="3" max="3" width="5.5546875" style="116" customWidth="1"/>
    <col min="4" max="4" width="1.88671875" style="116" customWidth="1"/>
    <col min="5" max="6" width="9.88671875" style="116" hidden="1" customWidth="1"/>
    <col min="7" max="7" width="10" style="116" customWidth="1"/>
    <col min="8" max="9" width="9.88671875" style="116" customWidth="1"/>
    <col min="10" max="16" width="10.109375" style="116" bestFit="1" customWidth="1"/>
    <col min="17" max="23" width="10.33203125" style="116" bestFit="1" customWidth="1"/>
    <col min="24" max="16384" width="9.109375" style="116"/>
  </cols>
  <sheetData>
    <row r="2" spans="1:26" s="95" customFormat="1" ht="35.1" customHeight="1">
      <c r="A2" s="93"/>
      <c r="B2" s="210"/>
      <c r="C2" s="210"/>
      <c r="D2" s="210"/>
      <c r="E2" s="210"/>
      <c r="F2" s="210"/>
      <c r="G2" s="354" t="s">
        <v>70</v>
      </c>
      <c r="H2" s="354"/>
      <c r="I2" s="354"/>
      <c r="J2" s="354"/>
      <c r="K2" s="354"/>
      <c r="L2" s="354"/>
      <c r="M2" s="354"/>
      <c r="N2" s="354"/>
      <c r="O2" s="35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s="101" customFormat="1" ht="15.75" customHeight="1">
      <c r="A3" s="96"/>
      <c r="B3" s="97"/>
      <c r="C3" s="97"/>
      <c r="D3" s="97"/>
      <c r="E3" s="357"/>
      <c r="F3" s="357"/>
      <c r="G3" s="357"/>
      <c r="H3" s="357"/>
      <c r="I3" s="355" t="s">
        <v>124</v>
      </c>
      <c r="J3" s="355"/>
      <c r="K3" s="355"/>
      <c r="L3" s="355"/>
      <c r="M3" s="355"/>
      <c r="N3" s="355"/>
      <c r="O3" s="355"/>
      <c r="P3" s="98"/>
      <c r="Q3" s="98"/>
      <c r="R3" s="98"/>
      <c r="S3" s="98"/>
      <c r="T3" s="98"/>
      <c r="U3" s="98"/>
      <c r="V3" s="98"/>
      <c r="W3" s="98"/>
      <c r="X3" s="98"/>
      <c r="Y3" s="99"/>
      <c r="Z3" s="100"/>
    </row>
    <row r="4" spans="1:26" s="102" customFormat="1" ht="10.199999999999999">
      <c r="O4" s="103" t="s">
        <v>67</v>
      </c>
    </row>
    <row r="5" spans="1:26" s="102" customFormat="1" ht="10.199999999999999">
      <c r="E5" s="104"/>
      <c r="F5" s="104"/>
      <c r="G5" s="104">
        <v>2022</v>
      </c>
      <c r="H5" s="104">
        <f t="shared" ref="H5:O5" si="0">G5+1</f>
        <v>2023</v>
      </c>
      <c r="I5" s="104">
        <f t="shared" si="0"/>
        <v>2024</v>
      </c>
      <c r="J5" s="104">
        <f t="shared" si="0"/>
        <v>2025</v>
      </c>
      <c r="K5" s="104">
        <f t="shared" si="0"/>
        <v>2026</v>
      </c>
      <c r="L5" s="104">
        <f t="shared" si="0"/>
        <v>2027</v>
      </c>
      <c r="M5" s="104">
        <f t="shared" si="0"/>
        <v>2028</v>
      </c>
      <c r="N5" s="104">
        <f t="shared" si="0"/>
        <v>2029</v>
      </c>
      <c r="O5" s="104">
        <f t="shared" si="0"/>
        <v>2030</v>
      </c>
      <c r="P5" s="104">
        <f t="shared" ref="P5" si="1">O5+1</f>
        <v>2031</v>
      </c>
      <c r="Q5" s="104">
        <f t="shared" ref="Q5" si="2">P5+1</f>
        <v>2032</v>
      </c>
      <c r="R5" s="104">
        <f t="shared" ref="R5" si="3">Q5+1</f>
        <v>2033</v>
      </c>
      <c r="S5" s="104">
        <f t="shared" ref="S5" si="4">R5+1</f>
        <v>2034</v>
      </c>
    </row>
    <row r="6" spans="1:26" s="102" customFormat="1" ht="10.199999999999999"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26" s="102" customFormat="1" ht="10.8" thickBot="1">
      <c r="A7" s="362" t="s">
        <v>69</v>
      </c>
      <c r="B7" s="362"/>
      <c r="C7" s="362"/>
      <c r="D7" s="362"/>
      <c r="E7" s="105"/>
      <c r="F7" s="105"/>
      <c r="G7" s="105" t="e">
        <f>G8+G9</f>
        <v>#REF!</v>
      </c>
      <c r="H7" s="105" t="e">
        <f t="shared" ref="H7:Q7" si="5">H8+H9</f>
        <v>#REF!</v>
      </c>
      <c r="I7" s="105">
        <f t="shared" si="5"/>
        <v>10213.033939232497</v>
      </c>
      <c r="J7" s="105">
        <f t="shared" si="5"/>
        <v>11482.337824898736</v>
      </c>
      <c r="K7" s="105">
        <f t="shared" si="5"/>
        <v>12401.175186477358</v>
      </c>
      <c r="L7" s="105">
        <f t="shared" si="5"/>
        <v>11987.886562342323</v>
      </c>
      <c r="M7" s="105">
        <f t="shared" si="5"/>
        <v>11776.344831341892</v>
      </c>
      <c r="N7" s="105">
        <f t="shared" si="5"/>
        <v>11732.379902563685</v>
      </c>
      <c r="O7" s="105">
        <f t="shared" si="5"/>
        <v>11278.758260856386</v>
      </c>
      <c r="P7" s="105">
        <f t="shared" si="5"/>
        <v>10489.401415555556</v>
      </c>
      <c r="Q7" s="105">
        <f t="shared" si="5"/>
        <v>9514.2250877777769</v>
      </c>
      <c r="R7" s="105">
        <f t="shared" ref="R7:S7" si="6">R8+R9</f>
        <v>9084.141293333334</v>
      </c>
      <c r="S7" s="105">
        <f t="shared" si="6"/>
        <v>6850.7570444444445</v>
      </c>
    </row>
    <row r="8" spans="1:26" s="102" customFormat="1" ht="10.199999999999999">
      <c r="A8" s="360" t="s">
        <v>14</v>
      </c>
      <c r="B8" s="360"/>
      <c r="C8" s="360"/>
      <c r="D8" s="360"/>
      <c r="E8" s="106"/>
      <c r="F8" s="106"/>
      <c r="G8" s="106" t="e">
        <f>G14</f>
        <v>#REF!</v>
      </c>
      <c r="H8" s="106" t="e">
        <f t="shared" ref="H8:S8" si="7">H14</f>
        <v>#REF!</v>
      </c>
      <c r="I8" s="106">
        <f t="shared" si="7"/>
        <v>5769.0468583050852</v>
      </c>
      <c r="J8" s="106">
        <f t="shared" si="7"/>
        <v>6740.1579694161965</v>
      </c>
      <c r="K8" s="106">
        <f t="shared" si="7"/>
        <v>7180.1579694161965</v>
      </c>
      <c r="L8" s="106">
        <f t="shared" si="7"/>
        <v>7300.1579694161965</v>
      </c>
      <c r="M8" s="106">
        <f t="shared" si="7"/>
        <v>7620.1579694161965</v>
      </c>
      <c r="N8" s="106">
        <f t="shared" si="7"/>
        <v>8140.1579694161965</v>
      </c>
      <c r="O8" s="106">
        <f t="shared" si="7"/>
        <v>8270.5462274952915</v>
      </c>
      <c r="P8" s="106">
        <f t="shared" si="7"/>
        <v>8081.1111111111113</v>
      </c>
      <c r="Q8" s="106">
        <f t="shared" si="7"/>
        <v>7718.1944111111106</v>
      </c>
      <c r="R8" s="106">
        <f t="shared" si="7"/>
        <v>7851.1111111111113</v>
      </c>
      <c r="S8" s="106">
        <f t="shared" si="7"/>
        <v>6200</v>
      </c>
    </row>
    <row r="9" spans="1:26" s="102" customFormat="1" ht="10.199999999999999">
      <c r="A9" s="360" t="s">
        <v>13</v>
      </c>
      <c r="B9" s="360"/>
      <c r="C9" s="360"/>
      <c r="D9" s="360"/>
      <c r="E9" s="106"/>
      <c r="F9" s="106"/>
      <c r="G9" s="106" t="e">
        <f>G15</f>
        <v>#REF!</v>
      </c>
      <c r="H9" s="106" t="e">
        <f t="shared" ref="H9:S9" si="8">H15</f>
        <v>#REF!</v>
      </c>
      <c r="I9" s="106">
        <f t="shared" si="8"/>
        <v>4443.9870809274125</v>
      </c>
      <c r="J9" s="106">
        <f t="shared" si="8"/>
        <v>4742.1798554825391</v>
      </c>
      <c r="K9" s="106">
        <f t="shared" si="8"/>
        <v>5221.0172170611613</v>
      </c>
      <c r="L9" s="106">
        <f t="shared" si="8"/>
        <v>4687.7285929261261</v>
      </c>
      <c r="M9" s="106">
        <f t="shared" si="8"/>
        <v>4156.1868619256957</v>
      </c>
      <c r="N9" s="106">
        <f t="shared" si="8"/>
        <v>3592.2219331474885</v>
      </c>
      <c r="O9" s="106">
        <f t="shared" si="8"/>
        <v>3008.2120333610951</v>
      </c>
      <c r="P9" s="106">
        <f t="shared" si="8"/>
        <v>2408.2903044444442</v>
      </c>
      <c r="Q9" s="106">
        <f t="shared" si="8"/>
        <v>1796.0306766666665</v>
      </c>
      <c r="R9" s="106">
        <f t="shared" si="8"/>
        <v>1233.0301822222225</v>
      </c>
      <c r="S9" s="106">
        <f t="shared" si="8"/>
        <v>650.75704444444443</v>
      </c>
    </row>
    <row r="10" spans="1:26" s="102" customFormat="1" ht="10.199999999999999">
      <c r="A10" s="360" t="s">
        <v>26</v>
      </c>
      <c r="B10" s="360"/>
      <c r="C10" s="360"/>
      <c r="D10" s="360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26" s="102" customFormat="1" ht="10.199999999999999">
      <c r="A11" s="107"/>
      <c r="B11" s="107"/>
      <c r="C11" s="107"/>
      <c r="D11" s="107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</row>
    <row r="12" spans="1:26" s="102" customFormat="1" ht="10.199999999999999">
      <c r="A12" s="358"/>
      <c r="B12" s="358"/>
      <c r="C12" s="358"/>
      <c r="D12" s="35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</row>
    <row r="13" spans="1:26" s="102" customFormat="1" ht="10.8" thickBot="1">
      <c r="A13" s="359" t="s">
        <v>27</v>
      </c>
      <c r="B13" s="359"/>
      <c r="C13" s="359"/>
      <c r="D13" s="359"/>
      <c r="E13" s="109"/>
      <c r="F13" s="109"/>
      <c r="G13" s="109" t="e">
        <f t="shared" ref="G13:O13" si="9">SUM(G14:G16)</f>
        <v>#REF!</v>
      </c>
      <c r="H13" s="109" t="e">
        <f t="shared" si="9"/>
        <v>#REF!</v>
      </c>
      <c r="I13" s="109">
        <f t="shared" si="9"/>
        <v>10213.033939232497</v>
      </c>
      <c r="J13" s="109">
        <f t="shared" si="9"/>
        <v>11482.337824898736</v>
      </c>
      <c r="K13" s="109">
        <f t="shared" si="9"/>
        <v>12401.175186477358</v>
      </c>
      <c r="L13" s="109">
        <f t="shared" si="9"/>
        <v>11987.886562342323</v>
      </c>
      <c r="M13" s="109">
        <f t="shared" si="9"/>
        <v>11776.344831341892</v>
      </c>
      <c r="N13" s="109">
        <f t="shared" si="9"/>
        <v>11732.379902563685</v>
      </c>
      <c r="O13" s="109">
        <f t="shared" si="9"/>
        <v>11278.758260856386</v>
      </c>
      <c r="P13" s="109">
        <f t="shared" ref="P13:Q13" si="10">SUM(P14:P16)</f>
        <v>10489.401415555556</v>
      </c>
      <c r="Q13" s="109">
        <f t="shared" si="10"/>
        <v>9514.2250877777769</v>
      </c>
      <c r="R13" s="109">
        <f t="shared" ref="R13:S13" si="11">SUM(R14:R16)</f>
        <v>9084.141293333334</v>
      </c>
      <c r="S13" s="109">
        <f t="shared" si="11"/>
        <v>6850.7570444444445</v>
      </c>
    </row>
    <row r="14" spans="1:26" s="102" customFormat="1" ht="10.199999999999999">
      <c r="A14" s="360" t="s">
        <v>14</v>
      </c>
      <c r="B14" s="360"/>
      <c r="C14" s="360"/>
      <c r="D14" s="360"/>
      <c r="E14" s="106"/>
      <c r="F14" s="106"/>
      <c r="G14" s="106" t="e">
        <f>'anexa 1.3'!#REF!</f>
        <v>#REF!</v>
      </c>
      <c r="H14" s="106" t="e">
        <f>'anexa 1.3'!#REF!</f>
        <v>#REF!</v>
      </c>
      <c r="I14" s="106">
        <f>'anexa 1.3'!F23</f>
        <v>5769.0468583050852</v>
      </c>
      <c r="J14" s="106">
        <f>'anexa 1.3'!G23</f>
        <v>6740.1579694161965</v>
      </c>
      <c r="K14" s="106">
        <f>'anexa 1.3'!H23</f>
        <v>7180.1579694161965</v>
      </c>
      <c r="L14" s="106">
        <f>'anexa 1.3'!I23</f>
        <v>7300.1579694161965</v>
      </c>
      <c r="M14" s="106">
        <f>'anexa 1.3'!J23</f>
        <v>7620.1579694161965</v>
      </c>
      <c r="N14" s="106">
        <f>'anexa 1.3'!K23</f>
        <v>8140.1579694161965</v>
      </c>
      <c r="O14" s="106">
        <f>'anexa 1.3'!L23</f>
        <v>8270.5462274952915</v>
      </c>
      <c r="P14" s="106">
        <f>'anexa 1.3'!M23</f>
        <v>8081.1111111111113</v>
      </c>
      <c r="Q14" s="106">
        <f>'anexa 1.3'!N23</f>
        <v>7718.1944111111106</v>
      </c>
      <c r="R14" s="106">
        <f>'anexa 1.3'!O23</f>
        <v>7851.1111111111113</v>
      </c>
      <c r="S14" s="106">
        <f>'anexa 1.3'!P23</f>
        <v>6200</v>
      </c>
    </row>
    <row r="15" spans="1:26" s="102" customFormat="1" ht="10.199999999999999">
      <c r="A15" s="360" t="s">
        <v>13</v>
      </c>
      <c r="B15" s="360"/>
      <c r="C15" s="360"/>
      <c r="D15" s="360"/>
      <c r="E15" s="106"/>
      <c r="F15" s="106"/>
      <c r="G15" s="106" t="e">
        <f>'anexa 1.3'!#REF!</f>
        <v>#REF!</v>
      </c>
      <c r="H15" s="106" t="e">
        <f>'anexa 1.3'!#REF!</f>
        <v>#REF!</v>
      </c>
      <c r="I15" s="106">
        <f>'anexa 1.3'!F24</f>
        <v>4443.9870809274125</v>
      </c>
      <c r="J15" s="106">
        <f>'anexa 1.3'!G24</f>
        <v>4742.1798554825391</v>
      </c>
      <c r="K15" s="106">
        <f>'anexa 1.3'!H24</f>
        <v>5221.0172170611613</v>
      </c>
      <c r="L15" s="106">
        <f>'anexa 1.3'!I24</f>
        <v>4687.7285929261261</v>
      </c>
      <c r="M15" s="106">
        <f>'anexa 1.3'!J24</f>
        <v>4156.1868619256957</v>
      </c>
      <c r="N15" s="106">
        <f>'anexa 1.3'!K24</f>
        <v>3592.2219331474885</v>
      </c>
      <c r="O15" s="106">
        <f>'anexa 1.3'!L24</f>
        <v>3008.2120333610951</v>
      </c>
      <c r="P15" s="106">
        <f>'anexa 1.3'!M24</f>
        <v>2408.2903044444442</v>
      </c>
      <c r="Q15" s="106">
        <f>'anexa 1.3'!N24</f>
        <v>1796.0306766666665</v>
      </c>
      <c r="R15" s="106">
        <f>'anexa 1.3'!O24</f>
        <v>1233.0301822222225</v>
      </c>
      <c r="S15" s="106">
        <f>'anexa 1.3'!P24</f>
        <v>650.75704444444443</v>
      </c>
    </row>
    <row r="16" spans="1:26" s="102" customFormat="1" ht="10.199999999999999">
      <c r="A16" s="360" t="s">
        <v>26</v>
      </c>
      <c r="B16" s="360"/>
      <c r="C16" s="360"/>
      <c r="D16" s="36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</row>
    <row r="17" spans="1:19" s="102" customFormat="1" ht="10.199999999999999">
      <c r="A17" s="361"/>
      <c r="B17" s="361"/>
      <c r="C17" s="361"/>
      <c r="D17" s="361"/>
    </row>
    <row r="18" spans="1:19" s="102" customFormat="1" ht="39" customHeight="1">
      <c r="A18" s="356" t="s">
        <v>126</v>
      </c>
      <c r="B18" s="356"/>
      <c r="C18" s="356"/>
      <c r="D18" s="356"/>
      <c r="E18" s="111"/>
      <c r="F18" s="111"/>
      <c r="G18" s="111">
        <f>SUM('grad indatorare'!C20:E20)/3/1000</f>
        <v>14509.419556000001</v>
      </c>
      <c r="H18" s="111">
        <f t="shared" ref="H18:O18" si="12">G18</f>
        <v>14509.419556000001</v>
      </c>
      <c r="I18" s="111">
        <f t="shared" si="12"/>
        <v>14509.419556000001</v>
      </c>
      <c r="J18" s="111">
        <f t="shared" si="12"/>
        <v>14509.419556000001</v>
      </c>
      <c r="K18" s="111">
        <f t="shared" si="12"/>
        <v>14509.419556000001</v>
      </c>
      <c r="L18" s="111">
        <f t="shared" si="12"/>
        <v>14509.419556000001</v>
      </c>
      <c r="M18" s="111">
        <f t="shared" si="12"/>
        <v>14509.419556000001</v>
      </c>
      <c r="N18" s="111">
        <f t="shared" si="12"/>
        <v>14509.419556000001</v>
      </c>
      <c r="O18" s="111">
        <f t="shared" si="12"/>
        <v>14509.419556000001</v>
      </c>
      <c r="P18" s="111">
        <f t="shared" ref="P18" si="13">O18</f>
        <v>14509.419556000001</v>
      </c>
      <c r="Q18" s="111">
        <f t="shared" ref="Q18" si="14">P18</f>
        <v>14509.419556000001</v>
      </c>
      <c r="R18" s="111">
        <f t="shared" ref="R18" si="15">Q18</f>
        <v>14509.419556000001</v>
      </c>
      <c r="S18" s="111">
        <f t="shared" ref="S18" si="16">R18</f>
        <v>14509.419556000001</v>
      </c>
    </row>
    <row r="19" spans="1:19" s="102" customFormat="1" ht="10.199999999999999"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</row>
    <row r="20" spans="1:19" s="102" customFormat="1" ht="10.199999999999999">
      <c r="A20" s="113" t="s">
        <v>68</v>
      </c>
      <c r="E20" s="114"/>
      <c r="F20" s="114"/>
      <c r="G20" s="114" t="e">
        <f>G7/G18*0.3</f>
        <v>#REF!</v>
      </c>
      <c r="H20" s="114" t="e">
        <f>H7/H18*0.3</f>
        <v>#REF!</v>
      </c>
      <c r="I20" s="114">
        <f t="shared" ref="I20:Q20" si="17">I7/I18*0.3</f>
        <v>0.2111669712178629</v>
      </c>
      <c r="J20" s="114">
        <f t="shared" si="17"/>
        <v>0.23741138190777261</v>
      </c>
      <c r="K20" s="114">
        <f t="shared" si="17"/>
        <v>0.25640946845490797</v>
      </c>
      <c r="L20" s="114">
        <f t="shared" si="17"/>
        <v>0.24786422053772034</v>
      </c>
      <c r="M20" s="114">
        <f t="shared" si="17"/>
        <v>0.24349033645123488</v>
      </c>
      <c r="N20" s="114">
        <f t="shared" si="17"/>
        <v>0.24258130776248851</v>
      </c>
      <c r="O20" s="114">
        <f t="shared" si="17"/>
        <v>0.23320212536398144</v>
      </c>
      <c r="P20" s="114">
        <f t="shared" si="17"/>
        <v>0.2168812068960663</v>
      </c>
      <c r="Q20" s="114">
        <f t="shared" si="17"/>
        <v>0.19671824329823195</v>
      </c>
      <c r="R20" s="114">
        <f t="shared" ref="R20:S20" si="18">R7/R18*0.3</f>
        <v>0.18782573468785288</v>
      </c>
      <c r="S20" s="114">
        <f t="shared" si="18"/>
        <v>0.14164778304197886</v>
      </c>
    </row>
    <row r="21" spans="1:19" s="115" customFormat="1" ht="12"/>
    <row r="22" spans="1:19" hidden="1"/>
    <row r="23" spans="1:19" hidden="1"/>
    <row r="24" spans="1:19" hidden="1"/>
    <row r="25" spans="1:19" hidden="1"/>
  </sheetData>
  <mergeCells count="14">
    <mergeCell ref="G2:O2"/>
    <mergeCell ref="I3:O3"/>
    <mergeCell ref="A18:D18"/>
    <mergeCell ref="E3:H3"/>
    <mergeCell ref="A12:D12"/>
    <mergeCell ref="A13:D13"/>
    <mergeCell ref="A14:D14"/>
    <mergeCell ref="A15:D15"/>
    <mergeCell ref="A16:D16"/>
    <mergeCell ref="A17:D17"/>
    <mergeCell ref="A10:D10"/>
    <mergeCell ref="A7:D7"/>
    <mergeCell ref="A8:D8"/>
    <mergeCell ref="A9:D9"/>
  </mergeCells>
  <pageMargins left="0.15" right="0.09" top="0.18" bottom="7158278.8300000001" header="0.3" footer="0.3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1E8D-6FBA-4010-A2F8-71F4D88DE45B}">
  <dimension ref="A1:L258"/>
  <sheetViews>
    <sheetView showGridLines="0" topLeftCell="A30" workbookViewId="0">
      <selection activeCell="L41" sqref="L41"/>
    </sheetView>
  </sheetViews>
  <sheetFormatPr defaultRowHeight="14.4"/>
  <cols>
    <col min="1" max="1" width="13" style="269" customWidth="1"/>
    <col min="2" max="2" width="17.5546875" style="269" customWidth="1"/>
    <col min="3" max="3" width="4.5546875" style="269" customWidth="1"/>
    <col min="4" max="4" width="12.21875" style="269" customWidth="1"/>
    <col min="5" max="5" width="35.77734375" style="269" customWidth="1"/>
    <col min="6" max="6" width="11.44140625" style="269" customWidth="1"/>
    <col min="7" max="7" width="26.6640625" style="269" customWidth="1"/>
    <col min="8" max="8" width="17.5546875" style="269" customWidth="1"/>
    <col min="9" max="9" width="10.6640625" style="269" customWidth="1"/>
    <col min="10" max="10" width="4.5546875" style="269" customWidth="1"/>
    <col min="11" max="11" width="0.77734375" style="269" customWidth="1"/>
    <col min="12" max="12" width="13.5546875" style="269" bestFit="1" customWidth="1"/>
    <col min="13" max="16384" width="8.88671875" style="269"/>
  </cols>
  <sheetData>
    <row r="1" spans="1:11">
      <c r="A1" s="363" t="s">
        <v>152</v>
      </c>
      <c r="B1" s="363"/>
      <c r="C1" s="364" t="s">
        <v>153</v>
      </c>
      <c r="D1" s="364"/>
      <c r="E1" s="364"/>
      <c r="F1" s="364"/>
      <c r="G1" s="364"/>
      <c r="H1" s="364"/>
      <c r="I1" s="364"/>
    </row>
    <row r="2" spans="1:11">
      <c r="C2" s="364"/>
      <c r="D2" s="364"/>
      <c r="E2" s="364"/>
      <c r="F2" s="364"/>
      <c r="G2" s="364"/>
      <c r="H2" s="364"/>
      <c r="I2" s="364"/>
    </row>
    <row r="3" spans="1:11">
      <c r="C3" s="364"/>
      <c r="D3" s="364"/>
      <c r="E3" s="364"/>
      <c r="F3" s="364"/>
      <c r="G3" s="364"/>
      <c r="H3" s="364"/>
      <c r="I3" s="364"/>
    </row>
    <row r="4" spans="1:11">
      <c r="C4" s="364"/>
      <c r="D4" s="364"/>
      <c r="E4" s="364"/>
      <c r="F4" s="364"/>
      <c r="G4" s="364"/>
      <c r="H4" s="364"/>
      <c r="I4" s="364"/>
    </row>
    <row r="5" spans="1:11" ht="17.399999999999999">
      <c r="A5" s="365" t="s">
        <v>154</v>
      </c>
      <c r="B5" s="365"/>
      <c r="C5" s="365"/>
      <c r="D5" s="365"/>
      <c r="E5" s="365"/>
      <c r="F5" s="365"/>
      <c r="G5" s="365"/>
      <c r="H5" s="365"/>
      <c r="I5" s="365"/>
      <c r="J5" s="365"/>
    </row>
    <row r="6" spans="1:11" ht="17.399999999999999">
      <c r="A6" s="365" t="s">
        <v>155</v>
      </c>
      <c r="B6" s="365"/>
      <c r="C6" s="365"/>
      <c r="D6" s="365"/>
      <c r="E6" s="365"/>
      <c r="F6" s="365"/>
      <c r="G6" s="365"/>
      <c r="H6" s="365"/>
      <c r="I6" s="365"/>
      <c r="J6" s="365"/>
    </row>
    <row r="7" spans="1:11" ht="15.6">
      <c r="A7" s="366" t="s">
        <v>156</v>
      </c>
      <c r="B7" s="366"/>
      <c r="C7" s="366"/>
      <c r="D7" s="366"/>
      <c r="E7" s="366"/>
      <c r="F7" s="366"/>
      <c r="G7" s="366"/>
      <c r="H7" s="366"/>
      <c r="I7" s="366"/>
      <c r="J7" s="366"/>
    </row>
    <row r="8" spans="1:11" ht="15.6">
      <c r="A8" s="367" t="s">
        <v>157</v>
      </c>
      <c r="B8" s="367"/>
      <c r="C8" s="367"/>
      <c r="D8" s="367"/>
      <c r="E8" s="367"/>
      <c r="F8" s="367"/>
      <c r="G8" s="367"/>
      <c r="H8" s="367"/>
      <c r="I8" s="367"/>
      <c r="J8" s="367"/>
    </row>
    <row r="9" spans="1:11" ht="15.6">
      <c r="A9" s="367" t="s">
        <v>158</v>
      </c>
      <c r="B9" s="367"/>
      <c r="C9" s="367"/>
      <c r="D9" s="367"/>
      <c r="E9" s="367"/>
      <c r="F9" s="367"/>
      <c r="G9" s="367"/>
      <c r="H9" s="367"/>
      <c r="I9" s="367"/>
      <c r="J9" s="367"/>
    </row>
    <row r="10" spans="1:11" ht="15.6">
      <c r="A10" s="367" t="s">
        <v>159</v>
      </c>
      <c r="B10" s="367"/>
      <c r="C10" s="367"/>
      <c r="D10" s="367"/>
      <c r="E10" s="367"/>
      <c r="F10" s="367"/>
      <c r="G10" s="367"/>
      <c r="H10" s="367"/>
      <c r="I10" s="367"/>
      <c r="J10" s="367"/>
    </row>
    <row r="11" spans="1:11" ht="15.6">
      <c r="A11" s="367" t="s">
        <v>160</v>
      </c>
      <c r="B11" s="367"/>
      <c r="C11" s="367"/>
      <c r="D11" s="367"/>
      <c r="E11" s="367"/>
      <c r="F11" s="367"/>
      <c r="G11" s="367"/>
      <c r="H11" s="367"/>
      <c r="I11" s="367"/>
      <c r="J11" s="367"/>
    </row>
    <row r="12" spans="1:11" ht="22.8">
      <c r="A12" s="270" t="s">
        <v>161</v>
      </c>
      <c r="B12" s="373" t="s">
        <v>162</v>
      </c>
      <c r="C12" s="374"/>
      <c r="D12" s="270" t="s">
        <v>163</v>
      </c>
      <c r="E12" s="270" t="s">
        <v>164</v>
      </c>
      <c r="F12" s="270" t="s">
        <v>165</v>
      </c>
      <c r="G12" s="270" t="s">
        <v>166</v>
      </c>
      <c r="H12" s="270" t="s">
        <v>167</v>
      </c>
      <c r="I12" s="373" t="s">
        <v>168</v>
      </c>
      <c r="J12" s="375"/>
      <c r="K12" s="374"/>
    </row>
    <row r="13" spans="1:11" ht="24">
      <c r="A13" s="271" t="s">
        <v>169</v>
      </c>
      <c r="B13" s="368" t="s">
        <v>170</v>
      </c>
      <c r="C13" s="369"/>
      <c r="D13" s="271" t="s">
        <v>171</v>
      </c>
      <c r="E13" s="271" t="s">
        <v>172</v>
      </c>
      <c r="F13" s="272"/>
      <c r="G13" s="272"/>
      <c r="H13" s="271" t="s">
        <v>173</v>
      </c>
      <c r="I13" s="370">
        <v>587553.5</v>
      </c>
      <c r="J13" s="371"/>
      <c r="K13" s="372"/>
    </row>
    <row r="14" spans="1:11">
      <c r="A14" s="271" t="s">
        <v>169</v>
      </c>
      <c r="B14" s="368" t="s">
        <v>170</v>
      </c>
      <c r="C14" s="369"/>
      <c r="D14" s="271" t="s">
        <v>174</v>
      </c>
      <c r="E14" s="271" t="s">
        <v>175</v>
      </c>
      <c r="F14" s="272"/>
      <c r="G14" s="272"/>
      <c r="H14" s="271" t="s">
        <v>173</v>
      </c>
      <c r="I14" s="370">
        <v>12585330.949999999</v>
      </c>
      <c r="J14" s="371"/>
      <c r="K14" s="372"/>
    </row>
    <row r="15" spans="1:11" ht="24">
      <c r="A15" s="271" t="s">
        <v>169</v>
      </c>
      <c r="B15" s="368" t="s">
        <v>170</v>
      </c>
      <c r="C15" s="369"/>
      <c r="D15" s="271" t="s">
        <v>176</v>
      </c>
      <c r="E15" s="271" t="s">
        <v>177</v>
      </c>
      <c r="F15" s="272"/>
      <c r="G15" s="272"/>
      <c r="H15" s="271" t="s">
        <v>173</v>
      </c>
      <c r="I15" s="370">
        <v>1035863.32</v>
      </c>
      <c r="J15" s="371"/>
      <c r="K15" s="372"/>
    </row>
    <row r="16" spans="1:11">
      <c r="A16" s="271" t="s">
        <v>169</v>
      </c>
      <c r="B16" s="368" t="s">
        <v>170</v>
      </c>
      <c r="C16" s="369"/>
      <c r="D16" s="271" t="s">
        <v>178</v>
      </c>
      <c r="E16" s="271" t="s">
        <v>179</v>
      </c>
      <c r="F16" s="272"/>
      <c r="G16" s="272"/>
      <c r="H16" s="271" t="s">
        <v>173</v>
      </c>
      <c r="I16" s="370">
        <v>6887189</v>
      </c>
      <c r="J16" s="371"/>
      <c r="K16" s="372"/>
    </row>
    <row r="17" spans="1:12">
      <c r="A17" s="271" t="s">
        <v>169</v>
      </c>
      <c r="B17" s="368" t="s">
        <v>170</v>
      </c>
      <c r="C17" s="369"/>
      <c r="D17" s="271" t="s">
        <v>180</v>
      </c>
      <c r="E17" s="271" t="s">
        <v>181</v>
      </c>
      <c r="F17" s="272"/>
      <c r="G17" s="272"/>
      <c r="H17" s="271" t="s">
        <v>173</v>
      </c>
      <c r="I17" s="370">
        <v>8379069.71</v>
      </c>
      <c r="J17" s="371"/>
      <c r="K17" s="372"/>
    </row>
    <row r="18" spans="1:12">
      <c r="A18" s="271" t="s">
        <v>169</v>
      </c>
      <c r="B18" s="368" t="s">
        <v>170</v>
      </c>
      <c r="C18" s="369"/>
      <c r="D18" s="271" t="s">
        <v>182</v>
      </c>
      <c r="E18" s="271" t="s">
        <v>183</v>
      </c>
      <c r="F18" s="272"/>
      <c r="G18" s="272"/>
      <c r="H18" s="271" t="s">
        <v>173</v>
      </c>
      <c r="I18" s="370">
        <v>1621760.64</v>
      </c>
      <c r="J18" s="371"/>
      <c r="K18" s="372"/>
    </row>
    <row r="19" spans="1:12">
      <c r="A19" s="271" t="s">
        <v>169</v>
      </c>
      <c r="B19" s="368" t="s">
        <v>170</v>
      </c>
      <c r="C19" s="369"/>
      <c r="D19" s="271" t="s">
        <v>184</v>
      </c>
      <c r="E19" s="271" t="s">
        <v>185</v>
      </c>
      <c r="F19" s="272"/>
      <c r="G19" s="272"/>
      <c r="H19" s="271" t="s">
        <v>173</v>
      </c>
      <c r="I19" s="370">
        <v>951275.7</v>
      </c>
      <c r="J19" s="371"/>
      <c r="K19" s="372"/>
    </row>
    <row r="20" spans="1:12">
      <c r="A20" s="271" t="s">
        <v>169</v>
      </c>
      <c r="B20" s="368" t="s">
        <v>170</v>
      </c>
      <c r="C20" s="369"/>
      <c r="D20" s="271" t="s">
        <v>186</v>
      </c>
      <c r="E20" s="271" t="s">
        <v>187</v>
      </c>
      <c r="F20" s="272"/>
      <c r="G20" s="272"/>
      <c r="H20" s="271" t="s">
        <v>173</v>
      </c>
      <c r="I20" s="370">
        <v>282003</v>
      </c>
      <c r="J20" s="371"/>
      <c r="K20" s="372"/>
    </row>
    <row r="21" spans="1:12">
      <c r="A21" s="271" t="s">
        <v>169</v>
      </c>
      <c r="B21" s="368" t="s">
        <v>170</v>
      </c>
      <c r="C21" s="369"/>
      <c r="D21" s="271" t="s">
        <v>188</v>
      </c>
      <c r="E21" s="271" t="s">
        <v>189</v>
      </c>
      <c r="F21" s="272"/>
      <c r="G21" s="272"/>
      <c r="H21" s="271" t="s">
        <v>173</v>
      </c>
      <c r="I21" s="370">
        <v>677222.93</v>
      </c>
      <c r="J21" s="371"/>
      <c r="K21" s="372"/>
    </row>
    <row r="22" spans="1:12" s="275" customFormat="1" ht="48">
      <c r="A22" s="273" t="s">
        <v>169</v>
      </c>
      <c r="B22" s="376" t="s">
        <v>170</v>
      </c>
      <c r="C22" s="377"/>
      <c r="D22" s="273" t="s">
        <v>190</v>
      </c>
      <c r="E22" s="273" t="s">
        <v>191</v>
      </c>
      <c r="F22" s="274"/>
      <c r="G22" s="274"/>
      <c r="H22" s="273" t="s">
        <v>173</v>
      </c>
      <c r="I22" s="378">
        <v>5342231</v>
      </c>
      <c r="J22" s="379"/>
      <c r="K22" s="380"/>
    </row>
    <row r="23" spans="1:12" s="275" customFormat="1" ht="24">
      <c r="A23" s="273" t="s">
        <v>169</v>
      </c>
      <c r="B23" s="376" t="s">
        <v>170</v>
      </c>
      <c r="C23" s="377"/>
      <c r="D23" s="273" t="s">
        <v>192</v>
      </c>
      <c r="E23" s="273" t="s">
        <v>193</v>
      </c>
      <c r="F23" s="274"/>
      <c r="G23" s="274"/>
      <c r="H23" s="273" t="s">
        <v>173</v>
      </c>
      <c r="I23" s="378">
        <v>10902000</v>
      </c>
      <c r="J23" s="379"/>
      <c r="K23" s="380"/>
      <c r="L23" s="277">
        <f>SUM(I22:K23)</f>
        <v>16244231</v>
      </c>
    </row>
    <row r="24" spans="1:12">
      <c r="A24" s="271" t="s">
        <v>169</v>
      </c>
      <c r="B24" s="368" t="s">
        <v>170</v>
      </c>
      <c r="C24" s="369"/>
      <c r="D24" s="271" t="s">
        <v>194</v>
      </c>
      <c r="E24" s="271" t="s">
        <v>195</v>
      </c>
      <c r="F24" s="272"/>
      <c r="G24" s="272"/>
      <c r="H24" s="271" t="s">
        <v>173</v>
      </c>
      <c r="I24" s="370">
        <v>4342479.6100000003</v>
      </c>
      <c r="J24" s="371"/>
      <c r="K24" s="372"/>
    </row>
    <row r="25" spans="1:12">
      <c r="A25" s="271" t="s">
        <v>169</v>
      </c>
      <c r="B25" s="368" t="s">
        <v>170</v>
      </c>
      <c r="C25" s="369"/>
      <c r="D25" s="271" t="s">
        <v>196</v>
      </c>
      <c r="E25" s="271" t="s">
        <v>197</v>
      </c>
      <c r="F25" s="272"/>
      <c r="G25" s="272"/>
      <c r="H25" s="271" t="s">
        <v>173</v>
      </c>
      <c r="I25" s="370">
        <v>15786.88</v>
      </c>
      <c r="J25" s="371"/>
      <c r="K25" s="372"/>
    </row>
    <row r="26" spans="1:12" ht="24">
      <c r="A26" s="271" t="s">
        <v>169</v>
      </c>
      <c r="B26" s="368" t="s">
        <v>170</v>
      </c>
      <c r="C26" s="369"/>
      <c r="D26" s="271" t="s">
        <v>198</v>
      </c>
      <c r="E26" s="271" t="s">
        <v>199</v>
      </c>
      <c r="F26" s="272"/>
      <c r="G26" s="272"/>
      <c r="H26" s="271" t="s">
        <v>173</v>
      </c>
      <c r="I26" s="370">
        <v>1656408.97</v>
      </c>
      <c r="J26" s="371"/>
      <c r="K26" s="372"/>
    </row>
    <row r="27" spans="1:12" ht="24">
      <c r="A27" s="271" t="s">
        <v>169</v>
      </c>
      <c r="B27" s="368" t="s">
        <v>170</v>
      </c>
      <c r="C27" s="369"/>
      <c r="D27" s="271" t="s">
        <v>200</v>
      </c>
      <c r="E27" s="271" t="s">
        <v>201</v>
      </c>
      <c r="F27" s="272"/>
      <c r="G27" s="272"/>
      <c r="H27" s="271" t="s">
        <v>173</v>
      </c>
      <c r="I27" s="370">
        <v>669064.03</v>
      </c>
      <c r="J27" s="371"/>
      <c r="K27" s="372"/>
    </row>
    <row r="28" spans="1:12" ht="24">
      <c r="A28" s="271" t="s">
        <v>169</v>
      </c>
      <c r="B28" s="368" t="s">
        <v>170</v>
      </c>
      <c r="C28" s="369"/>
      <c r="D28" s="271" t="s">
        <v>202</v>
      </c>
      <c r="E28" s="271" t="s">
        <v>203</v>
      </c>
      <c r="F28" s="272"/>
      <c r="G28" s="272"/>
      <c r="H28" s="271" t="s">
        <v>173</v>
      </c>
      <c r="I28" s="370">
        <v>3780064.76</v>
      </c>
      <c r="J28" s="371"/>
      <c r="K28" s="372"/>
    </row>
    <row r="29" spans="1:12" ht="24">
      <c r="A29" s="271" t="s">
        <v>169</v>
      </c>
      <c r="B29" s="368" t="s">
        <v>170</v>
      </c>
      <c r="C29" s="369"/>
      <c r="D29" s="271" t="s">
        <v>204</v>
      </c>
      <c r="E29" s="271" t="s">
        <v>205</v>
      </c>
      <c r="F29" s="272"/>
      <c r="G29" s="272"/>
      <c r="H29" s="271" t="s">
        <v>173</v>
      </c>
      <c r="I29" s="370">
        <v>1060247.0900000001</v>
      </c>
      <c r="J29" s="371"/>
      <c r="K29" s="372"/>
    </row>
    <row r="30" spans="1:12">
      <c r="A30" s="271" t="s">
        <v>169</v>
      </c>
      <c r="B30" s="368" t="s">
        <v>170</v>
      </c>
      <c r="C30" s="369"/>
      <c r="D30" s="271" t="s">
        <v>206</v>
      </c>
      <c r="E30" s="271" t="s">
        <v>207</v>
      </c>
      <c r="F30" s="272"/>
      <c r="G30" s="272"/>
      <c r="H30" s="271" t="s">
        <v>173</v>
      </c>
      <c r="I30" s="370">
        <v>52806.35</v>
      </c>
      <c r="J30" s="371"/>
      <c r="K30" s="372"/>
    </row>
    <row r="31" spans="1:12" ht="24">
      <c r="A31" s="271" t="s">
        <v>169</v>
      </c>
      <c r="B31" s="368" t="s">
        <v>170</v>
      </c>
      <c r="C31" s="369"/>
      <c r="D31" s="271" t="s">
        <v>208</v>
      </c>
      <c r="E31" s="271" t="s">
        <v>209</v>
      </c>
      <c r="F31" s="272"/>
      <c r="G31" s="272"/>
      <c r="H31" s="271" t="s">
        <v>173</v>
      </c>
      <c r="I31" s="370">
        <v>727315.62</v>
      </c>
      <c r="J31" s="371"/>
      <c r="K31" s="372"/>
    </row>
    <row r="32" spans="1:12">
      <c r="A32" s="271" t="s">
        <v>169</v>
      </c>
      <c r="B32" s="368" t="s">
        <v>170</v>
      </c>
      <c r="C32" s="369"/>
      <c r="D32" s="271" t="s">
        <v>210</v>
      </c>
      <c r="E32" s="271" t="s">
        <v>211</v>
      </c>
      <c r="F32" s="272"/>
      <c r="G32" s="272"/>
      <c r="H32" s="271" t="s">
        <v>173</v>
      </c>
      <c r="I32" s="370">
        <v>8914</v>
      </c>
      <c r="J32" s="371"/>
      <c r="K32" s="372"/>
    </row>
    <row r="33" spans="1:12" ht="24">
      <c r="A33" s="271" t="s">
        <v>169</v>
      </c>
      <c r="B33" s="368" t="s">
        <v>170</v>
      </c>
      <c r="C33" s="369"/>
      <c r="D33" s="271" t="s">
        <v>212</v>
      </c>
      <c r="E33" s="271" t="s">
        <v>213</v>
      </c>
      <c r="F33" s="272"/>
      <c r="G33" s="272"/>
      <c r="H33" s="271" t="s">
        <v>173</v>
      </c>
      <c r="I33" s="370">
        <v>196320</v>
      </c>
      <c r="J33" s="371"/>
      <c r="K33" s="372"/>
    </row>
    <row r="34" spans="1:12" ht="24">
      <c r="A34" s="271" t="s">
        <v>169</v>
      </c>
      <c r="B34" s="368" t="s">
        <v>170</v>
      </c>
      <c r="C34" s="369"/>
      <c r="D34" s="271" t="s">
        <v>214</v>
      </c>
      <c r="E34" s="271" t="s">
        <v>215</v>
      </c>
      <c r="F34" s="272"/>
      <c r="G34" s="272"/>
      <c r="H34" s="271" t="s">
        <v>173</v>
      </c>
      <c r="I34" s="370">
        <v>19041.7</v>
      </c>
      <c r="J34" s="371"/>
      <c r="K34" s="372"/>
    </row>
    <row r="35" spans="1:12" ht="24">
      <c r="A35" s="271" t="s">
        <v>169</v>
      </c>
      <c r="B35" s="368" t="s">
        <v>170</v>
      </c>
      <c r="C35" s="369"/>
      <c r="D35" s="271" t="s">
        <v>216</v>
      </c>
      <c r="E35" s="271" t="s">
        <v>217</v>
      </c>
      <c r="F35" s="272"/>
      <c r="G35" s="272"/>
      <c r="H35" s="271" t="s">
        <v>173</v>
      </c>
      <c r="I35" s="370">
        <v>973865.81</v>
      </c>
      <c r="J35" s="371"/>
      <c r="K35" s="372"/>
    </row>
    <row r="36" spans="1:12" ht="24">
      <c r="A36" s="271" t="s">
        <v>169</v>
      </c>
      <c r="B36" s="368" t="s">
        <v>170</v>
      </c>
      <c r="C36" s="369"/>
      <c r="D36" s="271" t="s">
        <v>218</v>
      </c>
      <c r="E36" s="271" t="s">
        <v>219</v>
      </c>
      <c r="F36" s="272"/>
      <c r="G36" s="272"/>
      <c r="H36" s="271" t="s">
        <v>173</v>
      </c>
      <c r="I36" s="370">
        <v>1000</v>
      </c>
      <c r="J36" s="371"/>
      <c r="K36" s="372"/>
    </row>
    <row r="37" spans="1:12">
      <c r="A37" s="271" t="s">
        <v>169</v>
      </c>
      <c r="B37" s="368" t="s">
        <v>170</v>
      </c>
      <c r="C37" s="369"/>
      <c r="D37" s="271" t="s">
        <v>220</v>
      </c>
      <c r="E37" s="271" t="s">
        <v>221</v>
      </c>
      <c r="F37" s="272"/>
      <c r="G37" s="272"/>
      <c r="H37" s="271" t="s">
        <v>173</v>
      </c>
      <c r="I37" s="370">
        <v>7916998.8899999997</v>
      </c>
      <c r="J37" s="371"/>
      <c r="K37" s="372"/>
    </row>
    <row r="38" spans="1:12">
      <c r="A38" s="271" t="s">
        <v>169</v>
      </c>
      <c r="B38" s="368" t="s">
        <v>170</v>
      </c>
      <c r="C38" s="369"/>
      <c r="D38" s="271" t="s">
        <v>222</v>
      </c>
      <c r="E38" s="271" t="s">
        <v>223</v>
      </c>
      <c r="F38" s="272"/>
      <c r="G38" s="272"/>
      <c r="H38" s="271" t="s">
        <v>173</v>
      </c>
      <c r="I38" s="370">
        <v>2473331.48</v>
      </c>
      <c r="J38" s="371"/>
      <c r="K38" s="372"/>
    </row>
    <row r="39" spans="1:12" s="280" customFormat="1" ht="24">
      <c r="A39" s="278" t="s">
        <v>169</v>
      </c>
      <c r="B39" s="381" t="s">
        <v>170</v>
      </c>
      <c r="C39" s="382"/>
      <c r="D39" s="278" t="s">
        <v>224</v>
      </c>
      <c r="E39" s="278" t="s">
        <v>225</v>
      </c>
      <c r="F39" s="279"/>
      <c r="G39" s="279"/>
      <c r="H39" s="278" t="s">
        <v>226</v>
      </c>
      <c r="I39" s="383">
        <v>2314204.73</v>
      </c>
      <c r="J39" s="384"/>
      <c r="K39" s="385"/>
    </row>
    <row r="40" spans="1:12" s="280" customFormat="1" ht="24">
      <c r="A40" s="278" t="s">
        <v>169</v>
      </c>
      <c r="B40" s="381" t="s">
        <v>170</v>
      </c>
      <c r="C40" s="382"/>
      <c r="D40" s="278" t="s">
        <v>227</v>
      </c>
      <c r="E40" s="278" t="s">
        <v>228</v>
      </c>
      <c r="F40" s="279"/>
      <c r="G40" s="279"/>
      <c r="H40" s="278" t="s">
        <v>226</v>
      </c>
      <c r="I40" s="383">
        <v>3595.09</v>
      </c>
      <c r="J40" s="384"/>
      <c r="K40" s="385"/>
    </row>
    <row r="41" spans="1:12" s="280" customFormat="1" ht="36">
      <c r="A41" s="278" t="s">
        <v>169</v>
      </c>
      <c r="B41" s="381" t="s">
        <v>170</v>
      </c>
      <c r="C41" s="382"/>
      <c r="D41" s="278" t="s">
        <v>229</v>
      </c>
      <c r="E41" s="278" t="s">
        <v>230</v>
      </c>
      <c r="F41" s="279"/>
      <c r="G41" s="279"/>
      <c r="H41" s="278" t="s">
        <v>226</v>
      </c>
      <c r="I41" s="383">
        <v>19970052.079999998</v>
      </c>
      <c r="J41" s="384"/>
      <c r="K41" s="385"/>
      <c r="L41" s="281">
        <f>SUM(I39:K41)</f>
        <v>22287851.899999999</v>
      </c>
    </row>
    <row r="42" spans="1:12" s="275" customFormat="1" ht="48">
      <c r="A42" s="273" t="s">
        <v>169</v>
      </c>
      <c r="B42" s="376" t="s">
        <v>170</v>
      </c>
      <c r="C42" s="377"/>
      <c r="D42" s="273" t="s">
        <v>231</v>
      </c>
      <c r="E42" s="273" t="s">
        <v>232</v>
      </c>
      <c r="F42" s="274"/>
      <c r="G42" s="274"/>
      <c r="H42" s="273" t="s">
        <v>173</v>
      </c>
      <c r="I42" s="378">
        <v>45168</v>
      </c>
      <c r="J42" s="379"/>
      <c r="K42" s="380"/>
    </row>
    <row r="43" spans="1:12" s="275" customFormat="1" ht="36">
      <c r="A43" s="273" t="s">
        <v>169</v>
      </c>
      <c r="B43" s="376" t="s">
        <v>170</v>
      </c>
      <c r="C43" s="377"/>
      <c r="D43" s="273" t="s">
        <v>233</v>
      </c>
      <c r="E43" s="273" t="s">
        <v>234</v>
      </c>
      <c r="F43" s="274"/>
      <c r="G43" s="274"/>
      <c r="H43" s="273" t="s">
        <v>173</v>
      </c>
      <c r="I43" s="378">
        <v>389228.73</v>
      </c>
      <c r="J43" s="379"/>
      <c r="K43" s="380"/>
    </row>
    <row r="44" spans="1:12" s="275" customFormat="1" ht="36">
      <c r="A44" s="273" t="s">
        <v>169</v>
      </c>
      <c r="B44" s="376" t="s">
        <v>170</v>
      </c>
      <c r="C44" s="377"/>
      <c r="D44" s="273" t="s">
        <v>235</v>
      </c>
      <c r="E44" s="273" t="s">
        <v>236</v>
      </c>
      <c r="F44" s="274"/>
      <c r="G44" s="274"/>
      <c r="H44" s="273" t="s">
        <v>226</v>
      </c>
      <c r="I44" s="378">
        <v>8625871.5800000001</v>
      </c>
      <c r="J44" s="379"/>
      <c r="K44" s="380"/>
    </row>
    <row r="45" spans="1:12" s="275" customFormat="1" ht="48">
      <c r="A45" s="273" t="s">
        <v>169</v>
      </c>
      <c r="B45" s="376" t="s">
        <v>170</v>
      </c>
      <c r="C45" s="377"/>
      <c r="D45" s="273" t="s">
        <v>237</v>
      </c>
      <c r="E45" s="273" t="s">
        <v>238</v>
      </c>
      <c r="F45" s="274"/>
      <c r="G45" s="274"/>
      <c r="H45" s="273" t="s">
        <v>226</v>
      </c>
      <c r="I45" s="378">
        <v>7054326.8899999997</v>
      </c>
      <c r="J45" s="379"/>
      <c r="K45" s="380"/>
    </row>
    <row r="46" spans="1:12" s="275" customFormat="1">
      <c r="A46" s="273" t="s">
        <v>169</v>
      </c>
      <c r="B46" s="376" t="s">
        <v>170</v>
      </c>
      <c r="C46" s="377"/>
      <c r="D46" s="273" t="s">
        <v>239</v>
      </c>
      <c r="E46" s="273" t="s">
        <v>240</v>
      </c>
      <c r="F46" s="274"/>
      <c r="G46" s="274"/>
      <c r="H46" s="273" t="s">
        <v>226</v>
      </c>
      <c r="I46" s="378">
        <v>1272386.8799999999</v>
      </c>
      <c r="J46" s="379"/>
      <c r="K46" s="380"/>
    </row>
    <row r="47" spans="1:12" s="275" customFormat="1">
      <c r="A47" s="273" t="s">
        <v>169</v>
      </c>
      <c r="B47" s="376" t="s">
        <v>170</v>
      </c>
      <c r="C47" s="377"/>
      <c r="D47" s="273" t="s">
        <v>241</v>
      </c>
      <c r="E47" s="273" t="s">
        <v>242</v>
      </c>
      <c r="F47" s="274"/>
      <c r="G47" s="274"/>
      <c r="H47" s="273" t="s">
        <v>226</v>
      </c>
      <c r="I47" s="378">
        <v>240097.03</v>
      </c>
      <c r="J47" s="379"/>
      <c r="K47" s="380"/>
    </row>
    <row r="48" spans="1:12" s="275" customFormat="1" ht="24">
      <c r="A48" s="273" t="s">
        <v>169</v>
      </c>
      <c r="B48" s="376" t="s">
        <v>170</v>
      </c>
      <c r="C48" s="377"/>
      <c r="D48" s="273" t="s">
        <v>243</v>
      </c>
      <c r="E48" s="273" t="s">
        <v>244</v>
      </c>
      <c r="F48" s="274"/>
      <c r="G48" s="274"/>
      <c r="H48" s="273" t="s">
        <v>226</v>
      </c>
      <c r="I48" s="378">
        <v>1804040.8</v>
      </c>
      <c r="J48" s="379"/>
      <c r="K48" s="380"/>
    </row>
    <row r="49" spans="1:12" s="275" customFormat="1">
      <c r="A49" s="273" t="s">
        <v>169</v>
      </c>
      <c r="B49" s="376" t="s">
        <v>170</v>
      </c>
      <c r="C49" s="377"/>
      <c r="D49" s="273" t="s">
        <v>245</v>
      </c>
      <c r="E49" s="273" t="s">
        <v>246</v>
      </c>
      <c r="F49" s="274"/>
      <c r="G49" s="274"/>
      <c r="H49" s="273" t="s">
        <v>226</v>
      </c>
      <c r="I49" s="378">
        <v>34052652.770000003</v>
      </c>
      <c r="J49" s="379"/>
      <c r="K49" s="380"/>
    </row>
    <row r="50" spans="1:12" s="275" customFormat="1">
      <c r="A50" s="273" t="s">
        <v>169</v>
      </c>
      <c r="B50" s="376" t="s">
        <v>170</v>
      </c>
      <c r="C50" s="377"/>
      <c r="D50" s="273" t="s">
        <v>247</v>
      </c>
      <c r="E50" s="273" t="s">
        <v>246</v>
      </c>
      <c r="F50" s="274"/>
      <c r="G50" s="274"/>
      <c r="H50" s="273" t="s">
        <v>226</v>
      </c>
      <c r="I50" s="378">
        <v>-895571.45</v>
      </c>
      <c r="J50" s="379"/>
      <c r="K50" s="380"/>
      <c r="L50" s="277">
        <f>SUM(I42:K50)</f>
        <v>52588201.230000004</v>
      </c>
    </row>
    <row r="51" spans="1:12">
      <c r="A51" s="271" t="s">
        <v>169</v>
      </c>
      <c r="B51" s="368" t="s">
        <v>248</v>
      </c>
      <c r="C51" s="369"/>
      <c r="D51" s="271" t="s">
        <v>249</v>
      </c>
      <c r="E51" s="271" t="s">
        <v>250</v>
      </c>
      <c r="F51" s="272"/>
      <c r="G51" s="272"/>
      <c r="H51" s="271" t="s">
        <v>226</v>
      </c>
      <c r="I51" s="370">
        <v>4900000</v>
      </c>
      <c r="J51" s="371"/>
      <c r="K51" s="372"/>
      <c r="L51" s="276">
        <f>SUM(I13:K50)</f>
        <v>148021198.07000002</v>
      </c>
    </row>
    <row r="52" spans="1:12" ht="36">
      <c r="A52" s="271" t="s">
        <v>169</v>
      </c>
      <c r="B52" s="368" t="s">
        <v>248</v>
      </c>
      <c r="C52" s="369"/>
      <c r="D52" s="271" t="s">
        <v>251</v>
      </c>
      <c r="E52" s="271" t="s">
        <v>252</v>
      </c>
      <c r="F52" s="272"/>
      <c r="G52" s="272"/>
      <c r="H52" s="271" t="s">
        <v>226</v>
      </c>
      <c r="I52" s="370">
        <v>10000000</v>
      </c>
      <c r="J52" s="371"/>
      <c r="K52" s="372"/>
    </row>
    <row r="53" spans="1:12" ht="24">
      <c r="A53" s="271" t="s">
        <v>169</v>
      </c>
      <c r="B53" s="368" t="s">
        <v>253</v>
      </c>
      <c r="C53" s="369"/>
      <c r="D53" s="271" t="s">
        <v>254</v>
      </c>
      <c r="E53" s="271" t="s">
        <v>255</v>
      </c>
      <c r="F53" s="272"/>
      <c r="G53" s="272"/>
      <c r="H53" s="271" t="s">
        <v>173</v>
      </c>
      <c r="I53" s="370">
        <v>35480</v>
      </c>
      <c r="J53" s="371"/>
      <c r="K53" s="372"/>
    </row>
    <row r="54" spans="1:12">
      <c r="A54" s="271" t="s">
        <v>169</v>
      </c>
      <c r="B54" s="368" t="s">
        <v>256</v>
      </c>
      <c r="C54" s="369"/>
      <c r="D54" s="271" t="s">
        <v>257</v>
      </c>
      <c r="E54" s="271" t="s">
        <v>258</v>
      </c>
      <c r="F54" s="272"/>
      <c r="G54" s="272"/>
      <c r="H54" s="271" t="s">
        <v>173</v>
      </c>
      <c r="I54" s="370">
        <v>349472.8</v>
      </c>
      <c r="J54" s="371"/>
      <c r="K54" s="372"/>
    </row>
    <row r="55" spans="1:12" ht="24">
      <c r="A55" s="271" t="s">
        <v>259</v>
      </c>
      <c r="B55" s="386"/>
      <c r="C55" s="387"/>
      <c r="D55" s="272"/>
      <c r="E55" s="272"/>
      <c r="F55" s="272"/>
      <c r="G55" s="272"/>
      <c r="H55" s="272"/>
      <c r="I55" s="370">
        <v>163306150.87</v>
      </c>
      <c r="J55" s="371"/>
      <c r="K55" s="372"/>
    </row>
    <row r="56" spans="1:12">
      <c r="A56" s="271" t="s">
        <v>260</v>
      </c>
      <c r="B56" s="368" t="s">
        <v>170</v>
      </c>
      <c r="C56" s="369"/>
      <c r="D56" s="271" t="s">
        <v>261</v>
      </c>
      <c r="E56" s="271" t="s">
        <v>262</v>
      </c>
      <c r="F56" s="271" t="s">
        <v>263</v>
      </c>
      <c r="G56" s="271" t="s">
        <v>264</v>
      </c>
      <c r="H56" s="271" t="s">
        <v>173</v>
      </c>
      <c r="I56" s="370">
        <v>5661259</v>
      </c>
      <c r="J56" s="371"/>
      <c r="K56" s="372"/>
    </row>
    <row r="57" spans="1:12">
      <c r="A57" s="271" t="s">
        <v>260</v>
      </c>
      <c r="B57" s="368" t="s">
        <v>170</v>
      </c>
      <c r="C57" s="369"/>
      <c r="D57" s="271" t="s">
        <v>261</v>
      </c>
      <c r="E57" s="271" t="s">
        <v>262</v>
      </c>
      <c r="F57" s="271" t="s">
        <v>265</v>
      </c>
      <c r="G57" s="271" t="s">
        <v>266</v>
      </c>
      <c r="H57" s="271" t="s">
        <v>173</v>
      </c>
      <c r="I57" s="370">
        <v>37069</v>
      </c>
      <c r="J57" s="371"/>
      <c r="K57" s="372"/>
    </row>
    <row r="58" spans="1:12" ht="24">
      <c r="A58" s="271" t="s">
        <v>260</v>
      </c>
      <c r="B58" s="368" t="s">
        <v>170</v>
      </c>
      <c r="C58" s="369"/>
      <c r="D58" s="271" t="s">
        <v>261</v>
      </c>
      <c r="E58" s="271" t="s">
        <v>262</v>
      </c>
      <c r="F58" s="271" t="s">
        <v>267</v>
      </c>
      <c r="G58" s="271" t="s">
        <v>268</v>
      </c>
      <c r="H58" s="271" t="s">
        <v>173</v>
      </c>
      <c r="I58" s="370">
        <v>415037</v>
      </c>
      <c r="J58" s="371"/>
      <c r="K58" s="372"/>
    </row>
    <row r="59" spans="1:12">
      <c r="A59" s="271" t="s">
        <v>260</v>
      </c>
      <c r="B59" s="368" t="s">
        <v>170</v>
      </c>
      <c r="C59" s="369"/>
      <c r="D59" s="271" t="s">
        <v>261</v>
      </c>
      <c r="E59" s="271" t="s">
        <v>262</v>
      </c>
      <c r="F59" s="271" t="s">
        <v>269</v>
      </c>
      <c r="G59" s="271" t="s">
        <v>270</v>
      </c>
      <c r="H59" s="271" t="s">
        <v>173</v>
      </c>
      <c r="I59" s="370">
        <v>128029</v>
      </c>
      <c r="J59" s="371"/>
      <c r="K59" s="372"/>
    </row>
    <row r="60" spans="1:12">
      <c r="A60" s="271" t="s">
        <v>260</v>
      </c>
      <c r="B60" s="368" t="s">
        <v>170</v>
      </c>
      <c r="C60" s="369"/>
      <c r="D60" s="271" t="s">
        <v>261</v>
      </c>
      <c r="E60" s="271" t="s">
        <v>262</v>
      </c>
      <c r="F60" s="271" t="s">
        <v>271</v>
      </c>
      <c r="G60" s="271" t="s">
        <v>272</v>
      </c>
      <c r="H60" s="271" t="s">
        <v>173</v>
      </c>
      <c r="I60" s="370">
        <v>20650</v>
      </c>
      <c r="J60" s="371"/>
      <c r="K60" s="372"/>
    </row>
    <row r="61" spans="1:12">
      <c r="A61" s="271" t="s">
        <v>260</v>
      </c>
      <c r="B61" s="368" t="s">
        <v>170</v>
      </c>
      <c r="C61" s="369"/>
      <c r="D61" s="271" t="s">
        <v>261</v>
      </c>
      <c r="E61" s="271" t="s">
        <v>262</v>
      </c>
      <c r="F61" s="271" t="s">
        <v>273</v>
      </c>
      <c r="G61" s="271" t="s">
        <v>274</v>
      </c>
      <c r="H61" s="271" t="s">
        <v>173</v>
      </c>
      <c r="I61" s="370">
        <v>146324</v>
      </c>
      <c r="J61" s="371"/>
      <c r="K61" s="372"/>
    </row>
    <row r="62" spans="1:12">
      <c r="A62" s="271" t="s">
        <v>260</v>
      </c>
      <c r="B62" s="368" t="s">
        <v>170</v>
      </c>
      <c r="C62" s="369"/>
      <c r="D62" s="271" t="s">
        <v>261</v>
      </c>
      <c r="E62" s="271" t="s">
        <v>262</v>
      </c>
      <c r="F62" s="271" t="s">
        <v>275</v>
      </c>
      <c r="G62" s="271" t="s">
        <v>276</v>
      </c>
      <c r="H62" s="271" t="s">
        <v>173</v>
      </c>
      <c r="I62" s="370">
        <v>102089.58</v>
      </c>
      <c r="J62" s="371"/>
      <c r="K62" s="372"/>
    </row>
    <row r="63" spans="1:12">
      <c r="A63" s="271" t="s">
        <v>260</v>
      </c>
      <c r="B63" s="368" t="s">
        <v>170</v>
      </c>
      <c r="C63" s="369"/>
      <c r="D63" s="271" t="s">
        <v>261</v>
      </c>
      <c r="E63" s="271" t="s">
        <v>262</v>
      </c>
      <c r="F63" s="271" t="s">
        <v>277</v>
      </c>
      <c r="G63" s="271" t="s">
        <v>278</v>
      </c>
      <c r="H63" s="271" t="s">
        <v>173</v>
      </c>
      <c r="I63" s="370">
        <v>23809.77</v>
      </c>
      <c r="J63" s="371"/>
      <c r="K63" s="372"/>
    </row>
    <row r="64" spans="1:12">
      <c r="A64" s="271" t="s">
        <v>260</v>
      </c>
      <c r="B64" s="368" t="s">
        <v>170</v>
      </c>
      <c r="C64" s="369"/>
      <c r="D64" s="271" t="s">
        <v>261</v>
      </c>
      <c r="E64" s="271" t="s">
        <v>262</v>
      </c>
      <c r="F64" s="271" t="s">
        <v>279</v>
      </c>
      <c r="G64" s="271" t="s">
        <v>280</v>
      </c>
      <c r="H64" s="271" t="s">
        <v>173</v>
      </c>
      <c r="I64" s="370">
        <v>114706.15</v>
      </c>
      <c r="J64" s="371"/>
      <c r="K64" s="372"/>
    </row>
    <row r="65" spans="1:11">
      <c r="A65" s="271" t="s">
        <v>260</v>
      </c>
      <c r="B65" s="368" t="s">
        <v>170</v>
      </c>
      <c r="C65" s="369"/>
      <c r="D65" s="271" t="s">
        <v>261</v>
      </c>
      <c r="E65" s="271" t="s">
        <v>262</v>
      </c>
      <c r="F65" s="271" t="s">
        <v>281</v>
      </c>
      <c r="G65" s="271" t="s">
        <v>282</v>
      </c>
      <c r="H65" s="271" t="s">
        <v>173</v>
      </c>
      <c r="I65" s="370">
        <v>13672.76</v>
      </c>
      <c r="J65" s="371"/>
      <c r="K65" s="372"/>
    </row>
    <row r="66" spans="1:11" ht="24">
      <c r="A66" s="271" t="s">
        <v>260</v>
      </c>
      <c r="B66" s="368" t="s">
        <v>170</v>
      </c>
      <c r="C66" s="369"/>
      <c r="D66" s="271" t="s">
        <v>261</v>
      </c>
      <c r="E66" s="271" t="s">
        <v>262</v>
      </c>
      <c r="F66" s="271" t="s">
        <v>283</v>
      </c>
      <c r="G66" s="271" t="s">
        <v>284</v>
      </c>
      <c r="H66" s="271" t="s">
        <v>173</v>
      </c>
      <c r="I66" s="370">
        <v>24747.62</v>
      </c>
      <c r="J66" s="371"/>
      <c r="K66" s="372"/>
    </row>
    <row r="67" spans="1:11" ht="24">
      <c r="A67" s="271" t="s">
        <v>260</v>
      </c>
      <c r="B67" s="368" t="s">
        <v>170</v>
      </c>
      <c r="C67" s="369"/>
      <c r="D67" s="271" t="s">
        <v>261</v>
      </c>
      <c r="E67" s="271" t="s">
        <v>262</v>
      </c>
      <c r="F67" s="271" t="s">
        <v>285</v>
      </c>
      <c r="G67" s="271" t="s">
        <v>286</v>
      </c>
      <c r="H67" s="271" t="s">
        <v>173</v>
      </c>
      <c r="I67" s="370">
        <v>271454.45</v>
      </c>
      <c r="J67" s="371"/>
      <c r="K67" s="372"/>
    </row>
    <row r="68" spans="1:11" ht="24">
      <c r="A68" s="271" t="s">
        <v>260</v>
      </c>
      <c r="B68" s="368" t="s">
        <v>170</v>
      </c>
      <c r="C68" s="369"/>
      <c r="D68" s="271" t="s">
        <v>261</v>
      </c>
      <c r="E68" s="271" t="s">
        <v>262</v>
      </c>
      <c r="F68" s="271" t="s">
        <v>287</v>
      </c>
      <c r="G68" s="271" t="s">
        <v>288</v>
      </c>
      <c r="H68" s="271" t="s">
        <v>173</v>
      </c>
      <c r="I68" s="370">
        <v>2620132.4500000002</v>
      </c>
      <c r="J68" s="371"/>
      <c r="K68" s="372"/>
    </row>
    <row r="69" spans="1:11">
      <c r="A69" s="271" t="s">
        <v>260</v>
      </c>
      <c r="B69" s="368" t="s">
        <v>170</v>
      </c>
      <c r="C69" s="369"/>
      <c r="D69" s="271" t="s">
        <v>261</v>
      </c>
      <c r="E69" s="271" t="s">
        <v>262</v>
      </c>
      <c r="F69" s="271" t="s">
        <v>289</v>
      </c>
      <c r="G69" s="271" t="s">
        <v>290</v>
      </c>
      <c r="H69" s="271" t="s">
        <v>173</v>
      </c>
      <c r="I69" s="370">
        <v>133941.64000000001</v>
      </c>
      <c r="J69" s="371"/>
      <c r="K69" s="372"/>
    </row>
    <row r="70" spans="1:11">
      <c r="A70" s="271" t="s">
        <v>260</v>
      </c>
      <c r="B70" s="368" t="s">
        <v>170</v>
      </c>
      <c r="C70" s="369"/>
      <c r="D70" s="271" t="s">
        <v>261</v>
      </c>
      <c r="E70" s="271" t="s">
        <v>262</v>
      </c>
      <c r="F70" s="271" t="s">
        <v>291</v>
      </c>
      <c r="G70" s="271" t="s">
        <v>292</v>
      </c>
      <c r="H70" s="271" t="s">
        <v>173</v>
      </c>
      <c r="I70" s="370">
        <v>2385.66</v>
      </c>
      <c r="J70" s="371"/>
      <c r="K70" s="372"/>
    </row>
    <row r="71" spans="1:11">
      <c r="A71" s="271" t="s">
        <v>260</v>
      </c>
      <c r="B71" s="368" t="s">
        <v>170</v>
      </c>
      <c r="C71" s="369"/>
      <c r="D71" s="271" t="s">
        <v>261</v>
      </c>
      <c r="E71" s="271" t="s">
        <v>262</v>
      </c>
      <c r="F71" s="271" t="s">
        <v>293</v>
      </c>
      <c r="G71" s="271" t="s">
        <v>294</v>
      </c>
      <c r="H71" s="271" t="s">
        <v>173</v>
      </c>
      <c r="I71" s="370">
        <v>14848.19</v>
      </c>
      <c r="J71" s="371"/>
      <c r="K71" s="372"/>
    </row>
    <row r="72" spans="1:11">
      <c r="A72" s="271" t="s">
        <v>260</v>
      </c>
      <c r="B72" s="368" t="s">
        <v>170</v>
      </c>
      <c r="C72" s="369"/>
      <c r="D72" s="271" t="s">
        <v>261</v>
      </c>
      <c r="E72" s="271" t="s">
        <v>262</v>
      </c>
      <c r="F72" s="271" t="s">
        <v>295</v>
      </c>
      <c r="G72" s="271" t="s">
        <v>296</v>
      </c>
      <c r="H72" s="271" t="s">
        <v>173</v>
      </c>
      <c r="I72" s="370">
        <v>7770</v>
      </c>
      <c r="J72" s="371"/>
      <c r="K72" s="372"/>
    </row>
    <row r="73" spans="1:11">
      <c r="A73" s="271" t="s">
        <v>260</v>
      </c>
      <c r="B73" s="368" t="s">
        <v>170</v>
      </c>
      <c r="C73" s="369"/>
      <c r="D73" s="271" t="s">
        <v>261</v>
      </c>
      <c r="E73" s="271" t="s">
        <v>262</v>
      </c>
      <c r="F73" s="271" t="s">
        <v>297</v>
      </c>
      <c r="G73" s="271" t="s">
        <v>298</v>
      </c>
      <c r="H73" s="271" t="s">
        <v>173</v>
      </c>
      <c r="I73" s="370">
        <v>143082.5</v>
      </c>
      <c r="J73" s="371"/>
      <c r="K73" s="372"/>
    </row>
    <row r="74" spans="1:11">
      <c r="A74" s="271" t="s">
        <v>260</v>
      </c>
      <c r="B74" s="368" t="s">
        <v>170</v>
      </c>
      <c r="C74" s="369"/>
      <c r="D74" s="271" t="s">
        <v>261</v>
      </c>
      <c r="E74" s="271" t="s">
        <v>262</v>
      </c>
      <c r="F74" s="271" t="s">
        <v>299</v>
      </c>
      <c r="G74" s="271" t="s">
        <v>300</v>
      </c>
      <c r="H74" s="271" t="s">
        <v>173</v>
      </c>
      <c r="I74" s="370">
        <v>21060</v>
      </c>
      <c r="J74" s="371"/>
      <c r="K74" s="372"/>
    </row>
    <row r="75" spans="1:11">
      <c r="A75" s="271" t="s">
        <v>260</v>
      </c>
      <c r="B75" s="368" t="s">
        <v>170</v>
      </c>
      <c r="C75" s="369"/>
      <c r="D75" s="271" t="s">
        <v>261</v>
      </c>
      <c r="E75" s="271" t="s">
        <v>262</v>
      </c>
      <c r="F75" s="271" t="s">
        <v>301</v>
      </c>
      <c r="G75" s="271" t="s">
        <v>302</v>
      </c>
      <c r="H75" s="271" t="s">
        <v>173</v>
      </c>
      <c r="I75" s="370">
        <v>753663.86</v>
      </c>
      <c r="J75" s="371"/>
      <c r="K75" s="372"/>
    </row>
    <row r="76" spans="1:11" ht="24">
      <c r="A76" s="271" t="s">
        <v>260</v>
      </c>
      <c r="B76" s="368" t="s">
        <v>170</v>
      </c>
      <c r="C76" s="369"/>
      <c r="D76" s="271" t="s">
        <v>261</v>
      </c>
      <c r="E76" s="271" t="s">
        <v>262</v>
      </c>
      <c r="F76" s="271" t="s">
        <v>303</v>
      </c>
      <c r="G76" s="271" t="s">
        <v>304</v>
      </c>
      <c r="H76" s="271" t="s">
        <v>173</v>
      </c>
      <c r="I76" s="370">
        <v>76037</v>
      </c>
      <c r="J76" s="371"/>
      <c r="K76" s="372"/>
    </row>
    <row r="77" spans="1:11">
      <c r="A77" s="271" t="s">
        <v>260</v>
      </c>
      <c r="B77" s="368" t="s">
        <v>170</v>
      </c>
      <c r="C77" s="369"/>
      <c r="D77" s="271" t="s">
        <v>261</v>
      </c>
      <c r="E77" s="271" t="s">
        <v>262</v>
      </c>
      <c r="F77" s="271" t="s">
        <v>305</v>
      </c>
      <c r="G77" s="271" t="s">
        <v>306</v>
      </c>
      <c r="H77" s="271" t="s">
        <v>226</v>
      </c>
      <c r="I77" s="370">
        <v>450500</v>
      </c>
      <c r="J77" s="371"/>
      <c r="K77" s="372"/>
    </row>
    <row r="78" spans="1:11" ht="36">
      <c r="A78" s="271" t="s">
        <v>260</v>
      </c>
      <c r="B78" s="368" t="s">
        <v>170</v>
      </c>
      <c r="C78" s="369"/>
      <c r="D78" s="271" t="s">
        <v>261</v>
      </c>
      <c r="E78" s="271" t="s">
        <v>262</v>
      </c>
      <c r="F78" s="271" t="s">
        <v>307</v>
      </c>
      <c r="G78" s="271" t="s">
        <v>308</v>
      </c>
      <c r="H78" s="271" t="s">
        <v>173</v>
      </c>
      <c r="I78" s="370">
        <v>-8442.27</v>
      </c>
      <c r="J78" s="371"/>
      <c r="K78" s="372"/>
    </row>
    <row r="79" spans="1:11" ht="24">
      <c r="A79" s="271" t="s">
        <v>260</v>
      </c>
      <c r="B79" s="368" t="s">
        <v>170</v>
      </c>
      <c r="C79" s="369"/>
      <c r="D79" s="271" t="s">
        <v>309</v>
      </c>
      <c r="E79" s="271" t="s">
        <v>310</v>
      </c>
      <c r="F79" s="271" t="s">
        <v>263</v>
      </c>
      <c r="G79" s="271" t="s">
        <v>264</v>
      </c>
      <c r="H79" s="271" t="s">
        <v>173</v>
      </c>
      <c r="I79" s="370">
        <v>271788</v>
      </c>
      <c r="J79" s="371"/>
      <c r="K79" s="372"/>
    </row>
    <row r="80" spans="1:11" ht="24">
      <c r="A80" s="271" t="s">
        <v>260</v>
      </c>
      <c r="B80" s="368" t="s">
        <v>170</v>
      </c>
      <c r="C80" s="369"/>
      <c r="D80" s="271" t="s">
        <v>309</v>
      </c>
      <c r="E80" s="271" t="s">
        <v>310</v>
      </c>
      <c r="F80" s="271" t="s">
        <v>269</v>
      </c>
      <c r="G80" s="271" t="s">
        <v>270</v>
      </c>
      <c r="H80" s="271" t="s">
        <v>173</v>
      </c>
      <c r="I80" s="370">
        <v>7952</v>
      </c>
      <c r="J80" s="371"/>
      <c r="K80" s="372"/>
    </row>
    <row r="81" spans="1:11" ht="24">
      <c r="A81" s="271" t="s">
        <v>260</v>
      </c>
      <c r="B81" s="368" t="s">
        <v>170</v>
      </c>
      <c r="C81" s="369"/>
      <c r="D81" s="271" t="s">
        <v>309</v>
      </c>
      <c r="E81" s="271" t="s">
        <v>310</v>
      </c>
      <c r="F81" s="271" t="s">
        <v>271</v>
      </c>
      <c r="G81" s="271" t="s">
        <v>272</v>
      </c>
      <c r="H81" s="271" t="s">
        <v>173</v>
      </c>
      <c r="I81" s="370">
        <v>800</v>
      </c>
      <c r="J81" s="371"/>
      <c r="K81" s="372"/>
    </row>
    <row r="82" spans="1:11" ht="24">
      <c r="A82" s="271" t="s">
        <v>260</v>
      </c>
      <c r="B82" s="368" t="s">
        <v>170</v>
      </c>
      <c r="C82" s="369"/>
      <c r="D82" s="271" t="s">
        <v>309</v>
      </c>
      <c r="E82" s="271" t="s">
        <v>310</v>
      </c>
      <c r="F82" s="271" t="s">
        <v>273</v>
      </c>
      <c r="G82" s="271" t="s">
        <v>274</v>
      </c>
      <c r="H82" s="271" t="s">
        <v>173</v>
      </c>
      <c r="I82" s="370">
        <v>6291</v>
      </c>
      <c r="J82" s="371"/>
      <c r="K82" s="372"/>
    </row>
    <row r="83" spans="1:11" ht="24">
      <c r="A83" s="271" t="s">
        <v>260</v>
      </c>
      <c r="B83" s="368" t="s">
        <v>170</v>
      </c>
      <c r="C83" s="369"/>
      <c r="D83" s="271" t="s">
        <v>309</v>
      </c>
      <c r="E83" s="271" t="s">
        <v>310</v>
      </c>
      <c r="F83" s="271" t="s">
        <v>279</v>
      </c>
      <c r="G83" s="271" t="s">
        <v>280</v>
      </c>
      <c r="H83" s="271" t="s">
        <v>173</v>
      </c>
      <c r="I83" s="370">
        <v>8142.57</v>
      </c>
      <c r="J83" s="371"/>
      <c r="K83" s="372"/>
    </row>
    <row r="84" spans="1:11" ht="24">
      <c r="A84" s="271" t="s">
        <v>260</v>
      </c>
      <c r="B84" s="368" t="s">
        <v>170</v>
      </c>
      <c r="C84" s="369"/>
      <c r="D84" s="271" t="s">
        <v>309</v>
      </c>
      <c r="E84" s="271" t="s">
        <v>310</v>
      </c>
      <c r="F84" s="271" t="s">
        <v>281</v>
      </c>
      <c r="G84" s="271" t="s">
        <v>282</v>
      </c>
      <c r="H84" s="271" t="s">
        <v>173</v>
      </c>
      <c r="I84" s="370">
        <v>1972.31</v>
      </c>
      <c r="J84" s="371"/>
      <c r="K84" s="372"/>
    </row>
    <row r="85" spans="1:11" ht="24">
      <c r="A85" s="271" t="s">
        <v>260</v>
      </c>
      <c r="B85" s="368" t="s">
        <v>170</v>
      </c>
      <c r="C85" s="369"/>
      <c r="D85" s="271" t="s">
        <v>309</v>
      </c>
      <c r="E85" s="271" t="s">
        <v>310</v>
      </c>
      <c r="F85" s="271" t="s">
        <v>283</v>
      </c>
      <c r="G85" s="271" t="s">
        <v>284</v>
      </c>
      <c r="H85" s="271" t="s">
        <v>173</v>
      </c>
      <c r="I85" s="370">
        <v>6273.2</v>
      </c>
      <c r="J85" s="371"/>
      <c r="K85" s="372"/>
    </row>
    <row r="86" spans="1:11" ht="24">
      <c r="A86" s="271" t="s">
        <v>260</v>
      </c>
      <c r="B86" s="368" t="s">
        <v>170</v>
      </c>
      <c r="C86" s="369"/>
      <c r="D86" s="271" t="s">
        <v>309</v>
      </c>
      <c r="E86" s="271" t="s">
        <v>310</v>
      </c>
      <c r="F86" s="271" t="s">
        <v>285</v>
      </c>
      <c r="G86" s="271" t="s">
        <v>286</v>
      </c>
      <c r="H86" s="271" t="s">
        <v>173</v>
      </c>
      <c r="I86" s="370">
        <v>343.33</v>
      </c>
      <c r="J86" s="371"/>
      <c r="K86" s="372"/>
    </row>
    <row r="87" spans="1:11" ht="24">
      <c r="A87" s="271" t="s">
        <v>260</v>
      </c>
      <c r="B87" s="368" t="s">
        <v>170</v>
      </c>
      <c r="C87" s="369"/>
      <c r="D87" s="271" t="s">
        <v>309</v>
      </c>
      <c r="E87" s="271" t="s">
        <v>310</v>
      </c>
      <c r="F87" s="271" t="s">
        <v>287</v>
      </c>
      <c r="G87" s="271" t="s">
        <v>288</v>
      </c>
      <c r="H87" s="271" t="s">
        <v>173</v>
      </c>
      <c r="I87" s="370">
        <v>5966.22</v>
      </c>
      <c r="J87" s="371"/>
      <c r="K87" s="372"/>
    </row>
    <row r="88" spans="1:11" ht="24">
      <c r="A88" s="271" t="s">
        <v>260</v>
      </c>
      <c r="B88" s="368" t="s">
        <v>170</v>
      </c>
      <c r="C88" s="369"/>
      <c r="D88" s="271" t="s">
        <v>311</v>
      </c>
      <c r="E88" s="271" t="s">
        <v>312</v>
      </c>
      <c r="F88" s="271" t="s">
        <v>287</v>
      </c>
      <c r="G88" s="271" t="s">
        <v>288</v>
      </c>
      <c r="H88" s="271" t="s">
        <v>173</v>
      </c>
      <c r="I88" s="370">
        <v>12283.01</v>
      </c>
      <c r="J88" s="371"/>
      <c r="K88" s="372"/>
    </row>
    <row r="89" spans="1:11" ht="24">
      <c r="A89" s="271" t="s">
        <v>260</v>
      </c>
      <c r="B89" s="368" t="s">
        <v>170</v>
      </c>
      <c r="C89" s="369"/>
      <c r="D89" s="271" t="s">
        <v>313</v>
      </c>
      <c r="E89" s="271" t="s">
        <v>314</v>
      </c>
      <c r="F89" s="271" t="s">
        <v>315</v>
      </c>
      <c r="G89" s="271" t="s">
        <v>316</v>
      </c>
      <c r="H89" s="271" t="s">
        <v>173</v>
      </c>
      <c r="I89" s="370">
        <v>2896371.27</v>
      </c>
      <c r="J89" s="371"/>
      <c r="K89" s="372"/>
    </row>
    <row r="90" spans="1:11">
      <c r="A90" s="271" t="s">
        <v>260</v>
      </c>
      <c r="B90" s="368" t="s">
        <v>170</v>
      </c>
      <c r="C90" s="369"/>
      <c r="D90" s="271" t="s">
        <v>317</v>
      </c>
      <c r="E90" s="271" t="s">
        <v>318</v>
      </c>
      <c r="F90" s="271" t="s">
        <v>263</v>
      </c>
      <c r="G90" s="271" t="s">
        <v>264</v>
      </c>
      <c r="H90" s="271" t="s">
        <v>173</v>
      </c>
      <c r="I90" s="370">
        <v>814750</v>
      </c>
      <c r="J90" s="371"/>
      <c r="K90" s="372"/>
    </row>
    <row r="91" spans="1:11">
      <c r="A91" s="271" t="s">
        <v>260</v>
      </c>
      <c r="B91" s="368" t="s">
        <v>170</v>
      </c>
      <c r="C91" s="369"/>
      <c r="D91" s="271" t="s">
        <v>317</v>
      </c>
      <c r="E91" s="271" t="s">
        <v>318</v>
      </c>
      <c r="F91" s="271" t="s">
        <v>265</v>
      </c>
      <c r="G91" s="271" t="s">
        <v>266</v>
      </c>
      <c r="H91" s="271" t="s">
        <v>173</v>
      </c>
      <c r="I91" s="370">
        <v>40943</v>
      </c>
      <c r="J91" s="371"/>
      <c r="K91" s="372"/>
    </row>
    <row r="92" spans="1:11">
      <c r="A92" s="271" t="s">
        <v>260</v>
      </c>
      <c r="B92" s="368" t="s">
        <v>170</v>
      </c>
      <c r="C92" s="369"/>
      <c r="D92" s="271" t="s">
        <v>317</v>
      </c>
      <c r="E92" s="271" t="s">
        <v>318</v>
      </c>
      <c r="F92" s="271" t="s">
        <v>269</v>
      </c>
      <c r="G92" s="271" t="s">
        <v>270</v>
      </c>
      <c r="H92" s="271" t="s">
        <v>173</v>
      </c>
      <c r="I92" s="370">
        <v>39639</v>
      </c>
      <c r="J92" s="371"/>
      <c r="K92" s="372"/>
    </row>
    <row r="93" spans="1:11">
      <c r="A93" s="271" t="s">
        <v>260</v>
      </c>
      <c r="B93" s="368" t="s">
        <v>170</v>
      </c>
      <c r="C93" s="369"/>
      <c r="D93" s="271" t="s">
        <v>317</v>
      </c>
      <c r="E93" s="271" t="s">
        <v>318</v>
      </c>
      <c r="F93" s="271" t="s">
        <v>319</v>
      </c>
      <c r="G93" s="271" t="s">
        <v>320</v>
      </c>
      <c r="H93" s="271" t="s">
        <v>173</v>
      </c>
      <c r="I93" s="370">
        <v>122375</v>
      </c>
      <c r="J93" s="371"/>
      <c r="K93" s="372"/>
    </row>
    <row r="94" spans="1:11">
      <c r="A94" s="271" t="s">
        <v>260</v>
      </c>
      <c r="B94" s="368" t="s">
        <v>170</v>
      </c>
      <c r="C94" s="369"/>
      <c r="D94" s="271" t="s">
        <v>317</v>
      </c>
      <c r="E94" s="271" t="s">
        <v>318</v>
      </c>
      <c r="F94" s="271" t="s">
        <v>271</v>
      </c>
      <c r="G94" s="271" t="s">
        <v>272</v>
      </c>
      <c r="H94" s="271" t="s">
        <v>173</v>
      </c>
      <c r="I94" s="370">
        <v>7200</v>
      </c>
      <c r="J94" s="371"/>
      <c r="K94" s="372"/>
    </row>
    <row r="95" spans="1:11">
      <c r="A95" s="271" t="s">
        <v>260</v>
      </c>
      <c r="B95" s="368" t="s">
        <v>170</v>
      </c>
      <c r="C95" s="369"/>
      <c r="D95" s="271" t="s">
        <v>317</v>
      </c>
      <c r="E95" s="271" t="s">
        <v>318</v>
      </c>
      <c r="F95" s="271" t="s">
        <v>273</v>
      </c>
      <c r="G95" s="271" t="s">
        <v>274</v>
      </c>
      <c r="H95" s="271" t="s">
        <v>173</v>
      </c>
      <c r="I95" s="370">
        <v>19253</v>
      </c>
      <c r="J95" s="371"/>
      <c r="K95" s="372"/>
    </row>
    <row r="96" spans="1:11">
      <c r="A96" s="271" t="s">
        <v>260</v>
      </c>
      <c r="B96" s="368" t="s">
        <v>170</v>
      </c>
      <c r="C96" s="369"/>
      <c r="D96" s="271" t="s">
        <v>317</v>
      </c>
      <c r="E96" s="271" t="s">
        <v>318</v>
      </c>
      <c r="F96" s="271" t="s">
        <v>275</v>
      </c>
      <c r="G96" s="271" t="s">
        <v>276</v>
      </c>
      <c r="H96" s="271" t="s">
        <v>173</v>
      </c>
      <c r="I96" s="370">
        <v>2658.57</v>
      </c>
      <c r="J96" s="371"/>
      <c r="K96" s="372"/>
    </row>
    <row r="97" spans="1:11">
      <c r="A97" s="271" t="s">
        <v>260</v>
      </c>
      <c r="B97" s="368" t="s">
        <v>170</v>
      </c>
      <c r="C97" s="369"/>
      <c r="D97" s="271" t="s">
        <v>317</v>
      </c>
      <c r="E97" s="271" t="s">
        <v>318</v>
      </c>
      <c r="F97" s="271" t="s">
        <v>277</v>
      </c>
      <c r="G97" s="271" t="s">
        <v>278</v>
      </c>
      <c r="H97" s="271" t="s">
        <v>173</v>
      </c>
      <c r="I97" s="370">
        <v>252.73</v>
      </c>
      <c r="J97" s="371"/>
      <c r="K97" s="372"/>
    </row>
    <row r="98" spans="1:11">
      <c r="A98" s="271" t="s">
        <v>260</v>
      </c>
      <c r="B98" s="368" t="s">
        <v>170</v>
      </c>
      <c r="C98" s="369"/>
      <c r="D98" s="271" t="s">
        <v>317</v>
      </c>
      <c r="E98" s="271" t="s">
        <v>318</v>
      </c>
      <c r="F98" s="271" t="s">
        <v>279</v>
      </c>
      <c r="G98" s="271" t="s">
        <v>280</v>
      </c>
      <c r="H98" s="271" t="s">
        <v>173</v>
      </c>
      <c r="I98" s="370">
        <v>13827.25</v>
      </c>
      <c r="J98" s="371"/>
      <c r="K98" s="372"/>
    </row>
    <row r="99" spans="1:11">
      <c r="A99" s="271" t="s">
        <v>260</v>
      </c>
      <c r="B99" s="368" t="s">
        <v>170</v>
      </c>
      <c r="C99" s="369"/>
      <c r="D99" s="271" t="s">
        <v>317</v>
      </c>
      <c r="E99" s="271" t="s">
        <v>318</v>
      </c>
      <c r="F99" s="271" t="s">
        <v>281</v>
      </c>
      <c r="G99" s="271" t="s">
        <v>282</v>
      </c>
      <c r="H99" s="271" t="s">
        <v>173</v>
      </c>
      <c r="I99" s="370">
        <v>1322.58</v>
      </c>
      <c r="J99" s="371"/>
      <c r="K99" s="372"/>
    </row>
    <row r="100" spans="1:11" ht="24">
      <c r="A100" s="271" t="s">
        <v>260</v>
      </c>
      <c r="B100" s="368" t="s">
        <v>170</v>
      </c>
      <c r="C100" s="369"/>
      <c r="D100" s="271" t="s">
        <v>317</v>
      </c>
      <c r="E100" s="271" t="s">
        <v>318</v>
      </c>
      <c r="F100" s="271" t="s">
        <v>283</v>
      </c>
      <c r="G100" s="271" t="s">
        <v>284</v>
      </c>
      <c r="H100" s="271" t="s">
        <v>173</v>
      </c>
      <c r="I100" s="370">
        <v>44788.81</v>
      </c>
      <c r="J100" s="371"/>
      <c r="K100" s="372"/>
    </row>
    <row r="101" spans="1:11" ht="24">
      <c r="A101" s="271" t="s">
        <v>260</v>
      </c>
      <c r="B101" s="368" t="s">
        <v>170</v>
      </c>
      <c r="C101" s="369"/>
      <c r="D101" s="271" t="s">
        <v>317</v>
      </c>
      <c r="E101" s="271" t="s">
        <v>318</v>
      </c>
      <c r="F101" s="271" t="s">
        <v>285</v>
      </c>
      <c r="G101" s="271" t="s">
        <v>286</v>
      </c>
      <c r="H101" s="271" t="s">
        <v>173</v>
      </c>
      <c r="I101" s="370">
        <v>13846.2</v>
      </c>
      <c r="J101" s="371"/>
      <c r="K101" s="372"/>
    </row>
    <row r="102" spans="1:11" ht="24">
      <c r="A102" s="271" t="s">
        <v>260</v>
      </c>
      <c r="B102" s="368" t="s">
        <v>170</v>
      </c>
      <c r="C102" s="369"/>
      <c r="D102" s="271" t="s">
        <v>317</v>
      </c>
      <c r="E102" s="271" t="s">
        <v>318</v>
      </c>
      <c r="F102" s="271" t="s">
        <v>287</v>
      </c>
      <c r="G102" s="271" t="s">
        <v>288</v>
      </c>
      <c r="H102" s="271" t="s">
        <v>173</v>
      </c>
      <c r="I102" s="370">
        <v>39608.25</v>
      </c>
      <c r="J102" s="371"/>
      <c r="K102" s="372"/>
    </row>
    <row r="103" spans="1:11">
      <c r="A103" s="271" t="s">
        <v>260</v>
      </c>
      <c r="B103" s="368" t="s">
        <v>170</v>
      </c>
      <c r="C103" s="369"/>
      <c r="D103" s="271" t="s">
        <v>317</v>
      </c>
      <c r="E103" s="271" t="s">
        <v>318</v>
      </c>
      <c r="F103" s="271" t="s">
        <v>321</v>
      </c>
      <c r="G103" s="271" t="s">
        <v>322</v>
      </c>
      <c r="H103" s="271" t="s">
        <v>173</v>
      </c>
      <c r="I103" s="370">
        <v>36006.79</v>
      </c>
      <c r="J103" s="371"/>
      <c r="K103" s="372"/>
    </row>
    <row r="104" spans="1:11">
      <c r="A104" s="271" t="s">
        <v>260</v>
      </c>
      <c r="B104" s="368" t="s">
        <v>170</v>
      </c>
      <c r="C104" s="369"/>
      <c r="D104" s="271" t="s">
        <v>317</v>
      </c>
      <c r="E104" s="271" t="s">
        <v>318</v>
      </c>
      <c r="F104" s="271" t="s">
        <v>291</v>
      </c>
      <c r="G104" s="271" t="s">
        <v>292</v>
      </c>
      <c r="H104" s="271" t="s">
        <v>173</v>
      </c>
      <c r="I104" s="370">
        <v>11316.9</v>
      </c>
      <c r="J104" s="371"/>
      <c r="K104" s="372"/>
    </row>
    <row r="105" spans="1:11">
      <c r="A105" s="271" t="s">
        <v>260</v>
      </c>
      <c r="B105" s="368" t="s">
        <v>170</v>
      </c>
      <c r="C105" s="369"/>
      <c r="D105" s="271" t="s">
        <v>317</v>
      </c>
      <c r="E105" s="271" t="s">
        <v>318</v>
      </c>
      <c r="F105" s="271" t="s">
        <v>295</v>
      </c>
      <c r="G105" s="271" t="s">
        <v>296</v>
      </c>
      <c r="H105" s="271" t="s">
        <v>173</v>
      </c>
      <c r="I105" s="370">
        <v>1545</v>
      </c>
      <c r="J105" s="371"/>
      <c r="K105" s="372"/>
    </row>
    <row r="106" spans="1:11">
      <c r="A106" s="271" t="s">
        <v>260</v>
      </c>
      <c r="B106" s="368" t="s">
        <v>170</v>
      </c>
      <c r="C106" s="369"/>
      <c r="D106" s="271" t="s">
        <v>317</v>
      </c>
      <c r="E106" s="271" t="s">
        <v>318</v>
      </c>
      <c r="F106" s="271" t="s">
        <v>305</v>
      </c>
      <c r="G106" s="271" t="s">
        <v>306</v>
      </c>
      <c r="H106" s="271" t="s">
        <v>226</v>
      </c>
      <c r="I106" s="370">
        <v>184018.55</v>
      </c>
      <c r="J106" s="371"/>
      <c r="K106" s="372"/>
    </row>
    <row r="107" spans="1:11">
      <c r="A107" s="271" t="s">
        <v>260</v>
      </c>
      <c r="B107" s="368" t="s">
        <v>170</v>
      </c>
      <c r="C107" s="369"/>
      <c r="D107" s="271" t="s">
        <v>323</v>
      </c>
      <c r="E107" s="271" t="s">
        <v>324</v>
      </c>
      <c r="F107" s="271" t="s">
        <v>263</v>
      </c>
      <c r="G107" s="271" t="s">
        <v>264</v>
      </c>
      <c r="H107" s="271" t="s">
        <v>173</v>
      </c>
      <c r="I107" s="370">
        <v>107065</v>
      </c>
      <c r="J107" s="371"/>
      <c r="K107" s="372"/>
    </row>
    <row r="108" spans="1:11">
      <c r="A108" s="271" t="s">
        <v>260</v>
      </c>
      <c r="B108" s="368" t="s">
        <v>170</v>
      </c>
      <c r="C108" s="369"/>
      <c r="D108" s="271" t="s">
        <v>323</v>
      </c>
      <c r="E108" s="271" t="s">
        <v>324</v>
      </c>
      <c r="F108" s="271" t="s">
        <v>269</v>
      </c>
      <c r="G108" s="271" t="s">
        <v>270</v>
      </c>
      <c r="H108" s="271" t="s">
        <v>173</v>
      </c>
      <c r="I108" s="370">
        <v>6501</v>
      </c>
      <c r="J108" s="371"/>
      <c r="K108" s="372"/>
    </row>
    <row r="109" spans="1:11">
      <c r="A109" s="271" t="s">
        <v>260</v>
      </c>
      <c r="B109" s="368" t="s">
        <v>170</v>
      </c>
      <c r="C109" s="369"/>
      <c r="D109" s="271" t="s">
        <v>323</v>
      </c>
      <c r="E109" s="271" t="s">
        <v>324</v>
      </c>
      <c r="F109" s="271" t="s">
        <v>273</v>
      </c>
      <c r="G109" s="271" t="s">
        <v>274</v>
      </c>
      <c r="H109" s="271" t="s">
        <v>173</v>
      </c>
      <c r="I109" s="370">
        <v>2563</v>
      </c>
      <c r="J109" s="371"/>
      <c r="K109" s="372"/>
    </row>
    <row r="110" spans="1:11">
      <c r="A110" s="271" t="s">
        <v>260</v>
      </c>
      <c r="B110" s="368" t="s">
        <v>170</v>
      </c>
      <c r="C110" s="369"/>
      <c r="D110" s="271" t="s">
        <v>323</v>
      </c>
      <c r="E110" s="271" t="s">
        <v>324</v>
      </c>
      <c r="F110" s="271" t="s">
        <v>279</v>
      </c>
      <c r="G110" s="271" t="s">
        <v>280</v>
      </c>
      <c r="H110" s="271" t="s">
        <v>173</v>
      </c>
      <c r="I110" s="370">
        <v>3810.9</v>
      </c>
      <c r="J110" s="371"/>
      <c r="K110" s="372"/>
    </row>
    <row r="111" spans="1:11">
      <c r="A111" s="271" t="s">
        <v>260</v>
      </c>
      <c r="B111" s="368" t="s">
        <v>170</v>
      </c>
      <c r="C111" s="369"/>
      <c r="D111" s="271" t="s">
        <v>323</v>
      </c>
      <c r="E111" s="271" t="s">
        <v>324</v>
      </c>
      <c r="F111" s="271" t="s">
        <v>281</v>
      </c>
      <c r="G111" s="271" t="s">
        <v>282</v>
      </c>
      <c r="H111" s="271" t="s">
        <v>173</v>
      </c>
      <c r="I111" s="370">
        <v>198.04</v>
      </c>
      <c r="J111" s="371"/>
      <c r="K111" s="372"/>
    </row>
    <row r="112" spans="1:11" ht="24">
      <c r="A112" s="271" t="s">
        <v>260</v>
      </c>
      <c r="B112" s="368" t="s">
        <v>170</v>
      </c>
      <c r="C112" s="369"/>
      <c r="D112" s="271" t="s">
        <v>323</v>
      </c>
      <c r="E112" s="271" t="s">
        <v>324</v>
      </c>
      <c r="F112" s="271" t="s">
        <v>283</v>
      </c>
      <c r="G112" s="271" t="s">
        <v>284</v>
      </c>
      <c r="H112" s="271" t="s">
        <v>173</v>
      </c>
      <c r="I112" s="370">
        <v>2446.31</v>
      </c>
      <c r="J112" s="371"/>
      <c r="K112" s="372"/>
    </row>
    <row r="113" spans="1:11" ht="24">
      <c r="A113" s="271" t="s">
        <v>260</v>
      </c>
      <c r="B113" s="368" t="s">
        <v>170</v>
      </c>
      <c r="C113" s="369"/>
      <c r="D113" s="271" t="s">
        <v>323</v>
      </c>
      <c r="E113" s="271" t="s">
        <v>324</v>
      </c>
      <c r="F113" s="271" t="s">
        <v>285</v>
      </c>
      <c r="G113" s="271" t="s">
        <v>286</v>
      </c>
      <c r="H113" s="271" t="s">
        <v>173</v>
      </c>
      <c r="I113" s="370">
        <v>989.47</v>
      </c>
      <c r="J113" s="371"/>
      <c r="K113" s="372"/>
    </row>
    <row r="114" spans="1:11" ht="24">
      <c r="A114" s="271" t="s">
        <v>260</v>
      </c>
      <c r="B114" s="368" t="s">
        <v>170</v>
      </c>
      <c r="C114" s="369"/>
      <c r="D114" s="271" t="s">
        <v>323</v>
      </c>
      <c r="E114" s="271" t="s">
        <v>324</v>
      </c>
      <c r="F114" s="271" t="s">
        <v>287</v>
      </c>
      <c r="G114" s="271" t="s">
        <v>288</v>
      </c>
      <c r="H114" s="271" t="s">
        <v>173</v>
      </c>
      <c r="I114" s="370">
        <v>4109.38</v>
      </c>
      <c r="J114" s="371"/>
      <c r="K114" s="372"/>
    </row>
    <row r="115" spans="1:11" ht="24">
      <c r="A115" s="271" t="s">
        <v>260</v>
      </c>
      <c r="B115" s="368" t="s">
        <v>170</v>
      </c>
      <c r="C115" s="369"/>
      <c r="D115" s="271" t="s">
        <v>325</v>
      </c>
      <c r="E115" s="271" t="s">
        <v>326</v>
      </c>
      <c r="F115" s="271" t="s">
        <v>327</v>
      </c>
      <c r="G115" s="271" t="s">
        <v>328</v>
      </c>
      <c r="H115" s="271" t="s">
        <v>173</v>
      </c>
      <c r="I115" s="370">
        <v>7000</v>
      </c>
      <c r="J115" s="371"/>
      <c r="K115" s="372"/>
    </row>
    <row r="116" spans="1:11">
      <c r="A116" s="271" t="s">
        <v>260</v>
      </c>
      <c r="B116" s="368" t="s">
        <v>170</v>
      </c>
      <c r="C116" s="369"/>
      <c r="D116" s="271" t="s">
        <v>325</v>
      </c>
      <c r="E116" s="271" t="s">
        <v>326</v>
      </c>
      <c r="F116" s="271" t="s">
        <v>275</v>
      </c>
      <c r="G116" s="271" t="s">
        <v>276</v>
      </c>
      <c r="H116" s="271" t="s">
        <v>173</v>
      </c>
      <c r="I116" s="370">
        <v>991.69</v>
      </c>
      <c r="J116" s="371"/>
      <c r="K116" s="372"/>
    </row>
    <row r="117" spans="1:11">
      <c r="A117" s="271" t="s">
        <v>260</v>
      </c>
      <c r="B117" s="368" t="s">
        <v>170</v>
      </c>
      <c r="C117" s="369"/>
      <c r="D117" s="271" t="s">
        <v>325</v>
      </c>
      <c r="E117" s="271" t="s">
        <v>326</v>
      </c>
      <c r="F117" s="271" t="s">
        <v>277</v>
      </c>
      <c r="G117" s="271" t="s">
        <v>278</v>
      </c>
      <c r="H117" s="271" t="s">
        <v>173</v>
      </c>
      <c r="I117" s="370">
        <v>1888</v>
      </c>
      <c r="J117" s="371"/>
      <c r="K117" s="372"/>
    </row>
    <row r="118" spans="1:11">
      <c r="A118" s="271" t="s">
        <v>260</v>
      </c>
      <c r="B118" s="368" t="s">
        <v>170</v>
      </c>
      <c r="C118" s="369"/>
      <c r="D118" s="271" t="s">
        <v>325</v>
      </c>
      <c r="E118" s="271" t="s">
        <v>326</v>
      </c>
      <c r="F118" s="271" t="s">
        <v>279</v>
      </c>
      <c r="G118" s="271" t="s">
        <v>280</v>
      </c>
      <c r="H118" s="271" t="s">
        <v>173</v>
      </c>
      <c r="I118" s="370">
        <v>9000</v>
      </c>
      <c r="J118" s="371"/>
      <c r="K118" s="372"/>
    </row>
    <row r="119" spans="1:11">
      <c r="A119" s="271" t="s">
        <v>260</v>
      </c>
      <c r="B119" s="368" t="s">
        <v>170</v>
      </c>
      <c r="C119" s="369"/>
      <c r="D119" s="271" t="s">
        <v>325</v>
      </c>
      <c r="E119" s="271" t="s">
        <v>326</v>
      </c>
      <c r="F119" s="271" t="s">
        <v>281</v>
      </c>
      <c r="G119" s="271" t="s">
        <v>282</v>
      </c>
      <c r="H119" s="271" t="s">
        <v>173</v>
      </c>
      <c r="I119" s="370">
        <v>1000</v>
      </c>
      <c r="J119" s="371"/>
      <c r="K119" s="372"/>
    </row>
    <row r="120" spans="1:11" ht="24">
      <c r="A120" s="271" t="s">
        <v>260</v>
      </c>
      <c r="B120" s="368" t="s">
        <v>170</v>
      </c>
      <c r="C120" s="369"/>
      <c r="D120" s="271" t="s">
        <v>325</v>
      </c>
      <c r="E120" s="271" t="s">
        <v>326</v>
      </c>
      <c r="F120" s="271" t="s">
        <v>285</v>
      </c>
      <c r="G120" s="271" t="s">
        <v>286</v>
      </c>
      <c r="H120" s="271" t="s">
        <v>173</v>
      </c>
      <c r="I120" s="370">
        <v>878.05</v>
      </c>
      <c r="J120" s="371"/>
      <c r="K120" s="372"/>
    </row>
    <row r="121" spans="1:11" ht="24">
      <c r="A121" s="271" t="s">
        <v>260</v>
      </c>
      <c r="B121" s="368" t="s">
        <v>170</v>
      </c>
      <c r="C121" s="369"/>
      <c r="D121" s="271" t="s">
        <v>325</v>
      </c>
      <c r="E121" s="271" t="s">
        <v>326</v>
      </c>
      <c r="F121" s="271" t="s">
        <v>329</v>
      </c>
      <c r="G121" s="271" t="s">
        <v>330</v>
      </c>
      <c r="H121" s="271" t="s">
        <v>173</v>
      </c>
      <c r="I121" s="370">
        <v>11880</v>
      </c>
      <c r="J121" s="371"/>
      <c r="K121" s="372"/>
    </row>
    <row r="122" spans="1:11" ht="24">
      <c r="A122" s="271" t="s">
        <v>260</v>
      </c>
      <c r="B122" s="368" t="s">
        <v>170</v>
      </c>
      <c r="C122" s="369"/>
      <c r="D122" s="271" t="s">
        <v>325</v>
      </c>
      <c r="E122" s="271" t="s">
        <v>326</v>
      </c>
      <c r="F122" s="271" t="s">
        <v>287</v>
      </c>
      <c r="G122" s="271" t="s">
        <v>288</v>
      </c>
      <c r="H122" s="271" t="s">
        <v>173</v>
      </c>
      <c r="I122" s="370">
        <v>61522.16</v>
      </c>
      <c r="J122" s="371"/>
      <c r="K122" s="372"/>
    </row>
    <row r="123" spans="1:11">
      <c r="A123" s="271" t="s">
        <v>260</v>
      </c>
      <c r="B123" s="368" t="s">
        <v>170</v>
      </c>
      <c r="C123" s="369"/>
      <c r="D123" s="271" t="s">
        <v>325</v>
      </c>
      <c r="E123" s="271" t="s">
        <v>326</v>
      </c>
      <c r="F123" s="271" t="s">
        <v>289</v>
      </c>
      <c r="G123" s="271" t="s">
        <v>290</v>
      </c>
      <c r="H123" s="271" t="s">
        <v>173</v>
      </c>
      <c r="I123" s="370">
        <v>338039.41</v>
      </c>
      <c r="J123" s="371"/>
      <c r="K123" s="372"/>
    </row>
    <row r="124" spans="1:11">
      <c r="A124" s="271" t="s">
        <v>260</v>
      </c>
      <c r="B124" s="368" t="s">
        <v>170</v>
      </c>
      <c r="C124" s="369"/>
      <c r="D124" s="271" t="s">
        <v>325</v>
      </c>
      <c r="E124" s="271" t="s">
        <v>326</v>
      </c>
      <c r="F124" s="271" t="s">
        <v>291</v>
      </c>
      <c r="G124" s="271" t="s">
        <v>292</v>
      </c>
      <c r="H124" s="271" t="s">
        <v>173</v>
      </c>
      <c r="I124" s="370">
        <v>18792.89</v>
      </c>
      <c r="J124" s="371"/>
      <c r="K124" s="372"/>
    </row>
    <row r="125" spans="1:11" ht="24">
      <c r="A125" s="271" t="s">
        <v>260</v>
      </c>
      <c r="B125" s="368" t="s">
        <v>170</v>
      </c>
      <c r="C125" s="369"/>
      <c r="D125" s="271" t="s">
        <v>331</v>
      </c>
      <c r="E125" s="271" t="s">
        <v>332</v>
      </c>
      <c r="F125" s="271" t="s">
        <v>327</v>
      </c>
      <c r="G125" s="271" t="s">
        <v>328</v>
      </c>
      <c r="H125" s="271" t="s">
        <v>173</v>
      </c>
      <c r="I125" s="370">
        <v>7000</v>
      </c>
      <c r="J125" s="371"/>
      <c r="K125" s="372"/>
    </row>
    <row r="126" spans="1:11">
      <c r="A126" s="271" t="s">
        <v>260</v>
      </c>
      <c r="B126" s="368" t="s">
        <v>170</v>
      </c>
      <c r="C126" s="369"/>
      <c r="D126" s="271" t="s">
        <v>331</v>
      </c>
      <c r="E126" s="271" t="s">
        <v>332</v>
      </c>
      <c r="F126" s="271" t="s">
        <v>275</v>
      </c>
      <c r="G126" s="271" t="s">
        <v>276</v>
      </c>
      <c r="H126" s="271" t="s">
        <v>173</v>
      </c>
      <c r="I126" s="370">
        <v>3753.11</v>
      </c>
      <c r="J126" s="371"/>
      <c r="K126" s="372"/>
    </row>
    <row r="127" spans="1:11">
      <c r="A127" s="271" t="s">
        <v>260</v>
      </c>
      <c r="B127" s="368" t="s">
        <v>170</v>
      </c>
      <c r="C127" s="369"/>
      <c r="D127" s="271" t="s">
        <v>331</v>
      </c>
      <c r="E127" s="271" t="s">
        <v>332</v>
      </c>
      <c r="F127" s="271" t="s">
        <v>277</v>
      </c>
      <c r="G127" s="271" t="s">
        <v>278</v>
      </c>
      <c r="H127" s="271" t="s">
        <v>173</v>
      </c>
      <c r="I127" s="370">
        <v>28950.79</v>
      </c>
      <c r="J127" s="371"/>
      <c r="K127" s="372"/>
    </row>
    <row r="128" spans="1:11">
      <c r="A128" s="271" t="s">
        <v>260</v>
      </c>
      <c r="B128" s="368" t="s">
        <v>170</v>
      </c>
      <c r="C128" s="369"/>
      <c r="D128" s="271" t="s">
        <v>331</v>
      </c>
      <c r="E128" s="271" t="s">
        <v>332</v>
      </c>
      <c r="F128" s="271" t="s">
        <v>279</v>
      </c>
      <c r="G128" s="271" t="s">
        <v>280</v>
      </c>
      <c r="H128" s="271" t="s">
        <v>173</v>
      </c>
      <c r="I128" s="370">
        <v>16886.52</v>
      </c>
      <c r="J128" s="371"/>
      <c r="K128" s="372"/>
    </row>
    <row r="129" spans="1:11">
      <c r="A129" s="271" t="s">
        <v>260</v>
      </c>
      <c r="B129" s="368" t="s">
        <v>170</v>
      </c>
      <c r="C129" s="369"/>
      <c r="D129" s="271" t="s">
        <v>331</v>
      </c>
      <c r="E129" s="271" t="s">
        <v>332</v>
      </c>
      <c r="F129" s="271" t="s">
        <v>281</v>
      </c>
      <c r="G129" s="271" t="s">
        <v>282</v>
      </c>
      <c r="H129" s="271" t="s">
        <v>173</v>
      </c>
      <c r="I129" s="370">
        <v>20848.36</v>
      </c>
      <c r="J129" s="371"/>
      <c r="K129" s="372"/>
    </row>
    <row r="130" spans="1:11" ht="24">
      <c r="A130" s="271" t="s">
        <v>260</v>
      </c>
      <c r="B130" s="368" t="s">
        <v>170</v>
      </c>
      <c r="C130" s="369"/>
      <c r="D130" s="271" t="s">
        <v>331</v>
      </c>
      <c r="E130" s="271" t="s">
        <v>332</v>
      </c>
      <c r="F130" s="271" t="s">
        <v>285</v>
      </c>
      <c r="G130" s="271" t="s">
        <v>286</v>
      </c>
      <c r="H130" s="271" t="s">
        <v>173</v>
      </c>
      <c r="I130" s="370">
        <v>1528.87</v>
      </c>
      <c r="J130" s="371"/>
      <c r="K130" s="372"/>
    </row>
    <row r="131" spans="1:11" ht="24">
      <c r="A131" s="271" t="s">
        <v>260</v>
      </c>
      <c r="B131" s="368" t="s">
        <v>170</v>
      </c>
      <c r="C131" s="369"/>
      <c r="D131" s="271" t="s">
        <v>331</v>
      </c>
      <c r="E131" s="271" t="s">
        <v>332</v>
      </c>
      <c r="F131" s="271" t="s">
        <v>329</v>
      </c>
      <c r="G131" s="271" t="s">
        <v>330</v>
      </c>
      <c r="H131" s="271" t="s">
        <v>173</v>
      </c>
      <c r="I131" s="370">
        <v>2479.65</v>
      </c>
      <c r="J131" s="371"/>
      <c r="K131" s="372"/>
    </row>
    <row r="132" spans="1:11" ht="24">
      <c r="A132" s="271" t="s">
        <v>260</v>
      </c>
      <c r="B132" s="368" t="s">
        <v>170</v>
      </c>
      <c r="C132" s="369"/>
      <c r="D132" s="271" t="s">
        <v>331</v>
      </c>
      <c r="E132" s="271" t="s">
        <v>332</v>
      </c>
      <c r="F132" s="271" t="s">
        <v>287</v>
      </c>
      <c r="G132" s="271" t="s">
        <v>288</v>
      </c>
      <c r="H132" s="271" t="s">
        <v>173</v>
      </c>
      <c r="I132" s="370">
        <v>95531.43</v>
      </c>
      <c r="J132" s="371"/>
      <c r="K132" s="372"/>
    </row>
    <row r="133" spans="1:11" ht="24">
      <c r="A133" s="271" t="s">
        <v>260</v>
      </c>
      <c r="B133" s="368" t="s">
        <v>170</v>
      </c>
      <c r="C133" s="369"/>
      <c r="D133" s="271" t="s">
        <v>333</v>
      </c>
      <c r="E133" s="271" t="s">
        <v>334</v>
      </c>
      <c r="F133" s="271" t="s">
        <v>327</v>
      </c>
      <c r="G133" s="271" t="s">
        <v>328</v>
      </c>
      <c r="H133" s="271" t="s">
        <v>173</v>
      </c>
      <c r="I133" s="370">
        <v>59534</v>
      </c>
      <c r="J133" s="371"/>
      <c r="K133" s="372"/>
    </row>
    <row r="134" spans="1:11">
      <c r="A134" s="271" t="s">
        <v>260</v>
      </c>
      <c r="B134" s="368" t="s">
        <v>170</v>
      </c>
      <c r="C134" s="369"/>
      <c r="D134" s="271" t="s">
        <v>333</v>
      </c>
      <c r="E134" s="271" t="s">
        <v>334</v>
      </c>
      <c r="F134" s="271" t="s">
        <v>275</v>
      </c>
      <c r="G134" s="271" t="s">
        <v>276</v>
      </c>
      <c r="H134" s="271" t="s">
        <v>173</v>
      </c>
      <c r="I134" s="370">
        <v>1979.04</v>
      </c>
      <c r="J134" s="371"/>
      <c r="K134" s="372"/>
    </row>
    <row r="135" spans="1:11">
      <c r="A135" s="271" t="s">
        <v>260</v>
      </c>
      <c r="B135" s="368" t="s">
        <v>170</v>
      </c>
      <c r="C135" s="369"/>
      <c r="D135" s="271" t="s">
        <v>333</v>
      </c>
      <c r="E135" s="271" t="s">
        <v>334</v>
      </c>
      <c r="F135" s="271" t="s">
        <v>277</v>
      </c>
      <c r="G135" s="271" t="s">
        <v>278</v>
      </c>
      <c r="H135" s="271" t="s">
        <v>173</v>
      </c>
      <c r="I135" s="370">
        <v>2554.66</v>
      </c>
      <c r="J135" s="371"/>
      <c r="K135" s="372"/>
    </row>
    <row r="136" spans="1:11">
      <c r="A136" s="271" t="s">
        <v>260</v>
      </c>
      <c r="B136" s="368" t="s">
        <v>170</v>
      </c>
      <c r="C136" s="369"/>
      <c r="D136" s="271" t="s">
        <v>333</v>
      </c>
      <c r="E136" s="271" t="s">
        <v>334</v>
      </c>
      <c r="F136" s="271" t="s">
        <v>279</v>
      </c>
      <c r="G136" s="271" t="s">
        <v>280</v>
      </c>
      <c r="H136" s="271" t="s">
        <v>173</v>
      </c>
      <c r="I136" s="370">
        <v>87333.62</v>
      </c>
      <c r="J136" s="371"/>
      <c r="K136" s="372"/>
    </row>
    <row r="137" spans="1:11">
      <c r="A137" s="271" t="s">
        <v>260</v>
      </c>
      <c r="B137" s="368" t="s">
        <v>170</v>
      </c>
      <c r="C137" s="369"/>
      <c r="D137" s="271" t="s">
        <v>333</v>
      </c>
      <c r="E137" s="271" t="s">
        <v>334</v>
      </c>
      <c r="F137" s="271" t="s">
        <v>281</v>
      </c>
      <c r="G137" s="271" t="s">
        <v>282</v>
      </c>
      <c r="H137" s="271" t="s">
        <v>173</v>
      </c>
      <c r="I137" s="370">
        <v>24958.78</v>
      </c>
      <c r="J137" s="371"/>
      <c r="K137" s="372"/>
    </row>
    <row r="138" spans="1:11" ht="24">
      <c r="A138" s="271" t="s">
        <v>260</v>
      </c>
      <c r="B138" s="368" t="s">
        <v>170</v>
      </c>
      <c r="C138" s="369"/>
      <c r="D138" s="271" t="s">
        <v>333</v>
      </c>
      <c r="E138" s="271" t="s">
        <v>334</v>
      </c>
      <c r="F138" s="271" t="s">
        <v>285</v>
      </c>
      <c r="G138" s="271" t="s">
        <v>286</v>
      </c>
      <c r="H138" s="271" t="s">
        <v>173</v>
      </c>
      <c r="I138" s="370">
        <v>7396.62</v>
      </c>
      <c r="J138" s="371"/>
      <c r="K138" s="372"/>
    </row>
    <row r="139" spans="1:11" ht="24">
      <c r="A139" s="271" t="s">
        <v>260</v>
      </c>
      <c r="B139" s="368" t="s">
        <v>170</v>
      </c>
      <c r="C139" s="369"/>
      <c r="D139" s="271" t="s">
        <v>333</v>
      </c>
      <c r="E139" s="271" t="s">
        <v>334</v>
      </c>
      <c r="F139" s="271" t="s">
        <v>287</v>
      </c>
      <c r="G139" s="271" t="s">
        <v>288</v>
      </c>
      <c r="H139" s="271" t="s">
        <v>173</v>
      </c>
      <c r="I139" s="370">
        <v>299110.90000000002</v>
      </c>
      <c r="J139" s="371"/>
      <c r="K139" s="372"/>
    </row>
    <row r="140" spans="1:11">
      <c r="A140" s="271" t="s">
        <v>260</v>
      </c>
      <c r="B140" s="368" t="s">
        <v>170</v>
      </c>
      <c r="C140" s="369"/>
      <c r="D140" s="271" t="s">
        <v>333</v>
      </c>
      <c r="E140" s="271" t="s">
        <v>334</v>
      </c>
      <c r="F140" s="271" t="s">
        <v>289</v>
      </c>
      <c r="G140" s="271" t="s">
        <v>290</v>
      </c>
      <c r="H140" s="271" t="s">
        <v>173</v>
      </c>
      <c r="I140" s="370">
        <v>4993.62</v>
      </c>
      <c r="J140" s="371"/>
      <c r="K140" s="372"/>
    </row>
    <row r="141" spans="1:11">
      <c r="A141" s="271" t="s">
        <v>260</v>
      </c>
      <c r="B141" s="368" t="s">
        <v>170</v>
      </c>
      <c r="C141" s="369"/>
      <c r="D141" s="271" t="s">
        <v>333</v>
      </c>
      <c r="E141" s="271" t="s">
        <v>334</v>
      </c>
      <c r="F141" s="271" t="s">
        <v>291</v>
      </c>
      <c r="G141" s="271" t="s">
        <v>292</v>
      </c>
      <c r="H141" s="271" t="s">
        <v>173</v>
      </c>
      <c r="I141" s="370">
        <v>17621.990000000002</v>
      </c>
      <c r="J141" s="371"/>
      <c r="K141" s="372"/>
    </row>
    <row r="142" spans="1:11">
      <c r="A142" s="271" t="s">
        <v>260</v>
      </c>
      <c r="B142" s="368" t="s">
        <v>170</v>
      </c>
      <c r="C142" s="369"/>
      <c r="D142" s="271" t="s">
        <v>333</v>
      </c>
      <c r="E142" s="271" t="s">
        <v>334</v>
      </c>
      <c r="F142" s="271" t="s">
        <v>293</v>
      </c>
      <c r="G142" s="271" t="s">
        <v>294</v>
      </c>
      <c r="H142" s="271" t="s">
        <v>173</v>
      </c>
      <c r="I142" s="370">
        <v>3383</v>
      </c>
      <c r="J142" s="371"/>
      <c r="K142" s="372"/>
    </row>
    <row r="143" spans="1:11">
      <c r="A143" s="271" t="s">
        <v>260</v>
      </c>
      <c r="B143" s="368" t="s">
        <v>170</v>
      </c>
      <c r="C143" s="369"/>
      <c r="D143" s="271" t="s">
        <v>333</v>
      </c>
      <c r="E143" s="271" t="s">
        <v>334</v>
      </c>
      <c r="F143" s="271" t="s">
        <v>335</v>
      </c>
      <c r="G143" s="271" t="s">
        <v>336</v>
      </c>
      <c r="H143" s="271" t="s">
        <v>173</v>
      </c>
      <c r="I143" s="370">
        <v>4757</v>
      </c>
      <c r="J143" s="371"/>
      <c r="K143" s="372"/>
    </row>
    <row r="144" spans="1:11">
      <c r="A144" s="271" t="s">
        <v>260</v>
      </c>
      <c r="B144" s="368" t="s">
        <v>170</v>
      </c>
      <c r="C144" s="369"/>
      <c r="D144" s="271" t="s">
        <v>333</v>
      </c>
      <c r="E144" s="271" t="s">
        <v>334</v>
      </c>
      <c r="F144" s="271" t="s">
        <v>295</v>
      </c>
      <c r="G144" s="271" t="s">
        <v>296</v>
      </c>
      <c r="H144" s="271" t="s">
        <v>173</v>
      </c>
      <c r="I144" s="370">
        <v>20945</v>
      </c>
      <c r="J144" s="371"/>
      <c r="K144" s="372"/>
    </row>
    <row r="145" spans="1:11">
      <c r="A145" s="271" t="s">
        <v>260</v>
      </c>
      <c r="B145" s="368" t="s">
        <v>170</v>
      </c>
      <c r="C145" s="369"/>
      <c r="D145" s="271" t="s">
        <v>333</v>
      </c>
      <c r="E145" s="271" t="s">
        <v>334</v>
      </c>
      <c r="F145" s="271" t="s">
        <v>337</v>
      </c>
      <c r="G145" s="271" t="s">
        <v>338</v>
      </c>
      <c r="H145" s="271" t="s">
        <v>173</v>
      </c>
      <c r="I145" s="370">
        <v>102231</v>
      </c>
      <c r="J145" s="371"/>
      <c r="K145" s="372"/>
    </row>
    <row r="146" spans="1:11" ht="24">
      <c r="A146" s="271" t="s">
        <v>260</v>
      </c>
      <c r="B146" s="368" t="s">
        <v>170</v>
      </c>
      <c r="C146" s="369"/>
      <c r="D146" s="271" t="s">
        <v>339</v>
      </c>
      <c r="E146" s="271" t="s">
        <v>340</v>
      </c>
      <c r="F146" s="271" t="s">
        <v>327</v>
      </c>
      <c r="G146" s="271" t="s">
        <v>328</v>
      </c>
      <c r="H146" s="271" t="s">
        <v>173</v>
      </c>
      <c r="I146" s="370">
        <v>67000</v>
      </c>
      <c r="J146" s="371"/>
      <c r="K146" s="372"/>
    </row>
    <row r="147" spans="1:11">
      <c r="A147" s="271" t="s">
        <v>260</v>
      </c>
      <c r="B147" s="368" t="s">
        <v>170</v>
      </c>
      <c r="C147" s="369"/>
      <c r="D147" s="271" t="s">
        <v>339</v>
      </c>
      <c r="E147" s="271" t="s">
        <v>340</v>
      </c>
      <c r="F147" s="271" t="s">
        <v>275</v>
      </c>
      <c r="G147" s="271" t="s">
        <v>276</v>
      </c>
      <c r="H147" s="271" t="s">
        <v>173</v>
      </c>
      <c r="I147" s="370">
        <v>1349.48</v>
      </c>
      <c r="J147" s="371"/>
      <c r="K147" s="372"/>
    </row>
    <row r="148" spans="1:11">
      <c r="A148" s="271" t="s">
        <v>260</v>
      </c>
      <c r="B148" s="368" t="s">
        <v>170</v>
      </c>
      <c r="C148" s="369"/>
      <c r="D148" s="271" t="s">
        <v>339</v>
      </c>
      <c r="E148" s="271" t="s">
        <v>340</v>
      </c>
      <c r="F148" s="271" t="s">
        <v>277</v>
      </c>
      <c r="G148" s="271" t="s">
        <v>278</v>
      </c>
      <c r="H148" s="271" t="s">
        <v>173</v>
      </c>
      <c r="I148" s="370">
        <v>2947.55</v>
      </c>
      <c r="J148" s="371"/>
      <c r="K148" s="372"/>
    </row>
    <row r="149" spans="1:11">
      <c r="A149" s="271" t="s">
        <v>260</v>
      </c>
      <c r="B149" s="368" t="s">
        <v>170</v>
      </c>
      <c r="C149" s="369"/>
      <c r="D149" s="271" t="s">
        <v>339</v>
      </c>
      <c r="E149" s="271" t="s">
        <v>340</v>
      </c>
      <c r="F149" s="271" t="s">
        <v>279</v>
      </c>
      <c r="G149" s="271" t="s">
        <v>280</v>
      </c>
      <c r="H149" s="271" t="s">
        <v>173</v>
      </c>
      <c r="I149" s="370">
        <v>140584.47</v>
      </c>
      <c r="J149" s="371"/>
      <c r="K149" s="372"/>
    </row>
    <row r="150" spans="1:11">
      <c r="A150" s="271" t="s">
        <v>260</v>
      </c>
      <c r="B150" s="368" t="s">
        <v>170</v>
      </c>
      <c r="C150" s="369"/>
      <c r="D150" s="271" t="s">
        <v>339</v>
      </c>
      <c r="E150" s="271" t="s">
        <v>340</v>
      </c>
      <c r="F150" s="271" t="s">
        <v>281</v>
      </c>
      <c r="G150" s="271" t="s">
        <v>282</v>
      </c>
      <c r="H150" s="271" t="s">
        <v>173</v>
      </c>
      <c r="I150" s="370">
        <v>34931.1</v>
      </c>
      <c r="J150" s="371"/>
      <c r="K150" s="372"/>
    </row>
    <row r="151" spans="1:11" ht="24">
      <c r="A151" s="271" t="s">
        <v>260</v>
      </c>
      <c r="B151" s="368" t="s">
        <v>170</v>
      </c>
      <c r="C151" s="369"/>
      <c r="D151" s="271" t="s">
        <v>339</v>
      </c>
      <c r="E151" s="271" t="s">
        <v>340</v>
      </c>
      <c r="F151" s="271" t="s">
        <v>285</v>
      </c>
      <c r="G151" s="271" t="s">
        <v>286</v>
      </c>
      <c r="H151" s="271" t="s">
        <v>173</v>
      </c>
      <c r="I151" s="370">
        <v>758.13</v>
      </c>
      <c r="J151" s="371"/>
      <c r="K151" s="372"/>
    </row>
    <row r="152" spans="1:11" ht="24">
      <c r="A152" s="271" t="s">
        <v>260</v>
      </c>
      <c r="B152" s="368" t="s">
        <v>170</v>
      </c>
      <c r="C152" s="369"/>
      <c r="D152" s="271" t="s">
        <v>339</v>
      </c>
      <c r="E152" s="271" t="s">
        <v>340</v>
      </c>
      <c r="F152" s="271" t="s">
        <v>329</v>
      </c>
      <c r="G152" s="271" t="s">
        <v>330</v>
      </c>
      <c r="H152" s="271" t="s">
        <v>173</v>
      </c>
      <c r="I152" s="370">
        <v>839</v>
      </c>
      <c r="J152" s="371"/>
      <c r="K152" s="372"/>
    </row>
    <row r="153" spans="1:11" ht="24">
      <c r="A153" s="271" t="s">
        <v>260</v>
      </c>
      <c r="B153" s="368" t="s">
        <v>170</v>
      </c>
      <c r="C153" s="369"/>
      <c r="D153" s="271" t="s">
        <v>339</v>
      </c>
      <c r="E153" s="271" t="s">
        <v>340</v>
      </c>
      <c r="F153" s="271" t="s">
        <v>287</v>
      </c>
      <c r="G153" s="271" t="s">
        <v>288</v>
      </c>
      <c r="H153" s="271" t="s">
        <v>173</v>
      </c>
      <c r="I153" s="370">
        <v>255950.15</v>
      </c>
      <c r="J153" s="371"/>
      <c r="K153" s="372"/>
    </row>
    <row r="154" spans="1:11">
      <c r="A154" s="271" t="s">
        <v>260</v>
      </c>
      <c r="B154" s="368" t="s">
        <v>170</v>
      </c>
      <c r="C154" s="369"/>
      <c r="D154" s="271" t="s">
        <v>339</v>
      </c>
      <c r="E154" s="271" t="s">
        <v>340</v>
      </c>
      <c r="F154" s="271" t="s">
        <v>289</v>
      </c>
      <c r="G154" s="271" t="s">
        <v>290</v>
      </c>
      <c r="H154" s="271" t="s">
        <v>173</v>
      </c>
      <c r="I154" s="370">
        <v>108913.31</v>
      </c>
      <c r="J154" s="371"/>
      <c r="K154" s="372"/>
    </row>
    <row r="155" spans="1:11">
      <c r="A155" s="271" t="s">
        <v>260</v>
      </c>
      <c r="B155" s="368" t="s">
        <v>170</v>
      </c>
      <c r="C155" s="369"/>
      <c r="D155" s="271" t="s">
        <v>339</v>
      </c>
      <c r="E155" s="271" t="s">
        <v>340</v>
      </c>
      <c r="F155" s="271" t="s">
        <v>293</v>
      </c>
      <c r="G155" s="271" t="s">
        <v>294</v>
      </c>
      <c r="H155" s="271" t="s">
        <v>173</v>
      </c>
      <c r="I155" s="370">
        <v>1971.38</v>
      </c>
      <c r="J155" s="371"/>
      <c r="K155" s="372"/>
    </row>
    <row r="156" spans="1:11">
      <c r="A156" s="271" t="s">
        <v>260</v>
      </c>
      <c r="B156" s="368" t="s">
        <v>170</v>
      </c>
      <c r="C156" s="369"/>
      <c r="D156" s="271" t="s">
        <v>339</v>
      </c>
      <c r="E156" s="271" t="s">
        <v>340</v>
      </c>
      <c r="F156" s="271" t="s">
        <v>335</v>
      </c>
      <c r="G156" s="271" t="s">
        <v>336</v>
      </c>
      <c r="H156" s="271" t="s">
        <v>173</v>
      </c>
      <c r="I156" s="370">
        <v>619</v>
      </c>
      <c r="J156" s="371"/>
      <c r="K156" s="372"/>
    </row>
    <row r="157" spans="1:11">
      <c r="A157" s="271" t="s">
        <v>260</v>
      </c>
      <c r="B157" s="368" t="s">
        <v>170</v>
      </c>
      <c r="C157" s="369"/>
      <c r="D157" s="271" t="s">
        <v>339</v>
      </c>
      <c r="E157" s="271" t="s">
        <v>340</v>
      </c>
      <c r="F157" s="271" t="s">
        <v>295</v>
      </c>
      <c r="G157" s="271" t="s">
        <v>296</v>
      </c>
      <c r="H157" s="271" t="s">
        <v>173</v>
      </c>
      <c r="I157" s="370">
        <v>3010</v>
      </c>
      <c r="J157" s="371"/>
      <c r="K157" s="372"/>
    </row>
    <row r="158" spans="1:11">
      <c r="A158" s="271" t="s">
        <v>260</v>
      </c>
      <c r="B158" s="368" t="s">
        <v>170</v>
      </c>
      <c r="C158" s="369"/>
      <c r="D158" s="271" t="s">
        <v>339</v>
      </c>
      <c r="E158" s="271" t="s">
        <v>340</v>
      </c>
      <c r="F158" s="271" t="s">
        <v>301</v>
      </c>
      <c r="G158" s="271" t="s">
        <v>302</v>
      </c>
      <c r="H158" s="271" t="s">
        <v>173</v>
      </c>
      <c r="I158" s="370">
        <v>1331</v>
      </c>
      <c r="J158" s="371"/>
      <c r="K158" s="372"/>
    </row>
    <row r="159" spans="1:11" ht="24">
      <c r="A159" s="271" t="s">
        <v>260</v>
      </c>
      <c r="B159" s="368" t="s">
        <v>170</v>
      </c>
      <c r="C159" s="369"/>
      <c r="D159" s="271" t="s">
        <v>339</v>
      </c>
      <c r="E159" s="271" t="s">
        <v>340</v>
      </c>
      <c r="F159" s="271" t="s">
        <v>341</v>
      </c>
      <c r="G159" s="271" t="s">
        <v>342</v>
      </c>
      <c r="H159" s="271" t="s">
        <v>226</v>
      </c>
      <c r="I159" s="370">
        <v>353966.14</v>
      </c>
      <c r="J159" s="371"/>
      <c r="K159" s="372"/>
    </row>
    <row r="160" spans="1:11" ht="24">
      <c r="A160" s="271" t="s">
        <v>260</v>
      </c>
      <c r="B160" s="368" t="s">
        <v>170</v>
      </c>
      <c r="C160" s="369"/>
      <c r="D160" s="271" t="s">
        <v>343</v>
      </c>
      <c r="E160" s="271" t="s">
        <v>344</v>
      </c>
      <c r="F160" s="271" t="s">
        <v>327</v>
      </c>
      <c r="G160" s="271" t="s">
        <v>328</v>
      </c>
      <c r="H160" s="271" t="s">
        <v>173</v>
      </c>
      <c r="I160" s="370">
        <v>10563.97</v>
      </c>
      <c r="J160" s="371"/>
      <c r="K160" s="372"/>
    </row>
    <row r="161" spans="1:11">
      <c r="A161" s="271" t="s">
        <v>260</v>
      </c>
      <c r="B161" s="368" t="s">
        <v>170</v>
      </c>
      <c r="C161" s="369"/>
      <c r="D161" s="271" t="s">
        <v>343</v>
      </c>
      <c r="E161" s="271" t="s">
        <v>344</v>
      </c>
      <c r="F161" s="271" t="s">
        <v>269</v>
      </c>
      <c r="G161" s="271" t="s">
        <v>270</v>
      </c>
      <c r="H161" s="271" t="s">
        <v>173</v>
      </c>
      <c r="I161" s="370">
        <v>34276</v>
      </c>
      <c r="J161" s="371"/>
      <c r="K161" s="372"/>
    </row>
    <row r="162" spans="1:11">
      <c r="A162" s="271" t="s">
        <v>260</v>
      </c>
      <c r="B162" s="368" t="s">
        <v>170</v>
      </c>
      <c r="C162" s="369"/>
      <c r="D162" s="271" t="s">
        <v>343</v>
      </c>
      <c r="E162" s="271" t="s">
        <v>344</v>
      </c>
      <c r="F162" s="271" t="s">
        <v>273</v>
      </c>
      <c r="G162" s="271" t="s">
        <v>274</v>
      </c>
      <c r="H162" s="271" t="s">
        <v>173</v>
      </c>
      <c r="I162" s="370">
        <v>771</v>
      </c>
      <c r="J162" s="371"/>
      <c r="K162" s="372"/>
    </row>
    <row r="163" spans="1:11">
      <c r="A163" s="271" t="s">
        <v>260</v>
      </c>
      <c r="B163" s="368" t="s">
        <v>170</v>
      </c>
      <c r="C163" s="369"/>
      <c r="D163" s="271" t="s">
        <v>343</v>
      </c>
      <c r="E163" s="271" t="s">
        <v>344</v>
      </c>
      <c r="F163" s="271" t="s">
        <v>277</v>
      </c>
      <c r="G163" s="271" t="s">
        <v>278</v>
      </c>
      <c r="H163" s="271" t="s">
        <v>173</v>
      </c>
      <c r="I163" s="370">
        <v>3067.28</v>
      </c>
      <c r="J163" s="371"/>
      <c r="K163" s="372"/>
    </row>
    <row r="164" spans="1:11">
      <c r="A164" s="271" t="s">
        <v>260</v>
      </c>
      <c r="B164" s="368" t="s">
        <v>170</v>
      </c>
      <c r="C164" s="369"/>
      <c r="D164" s="271" t="s">
        <v>343</v>
      </c>
      <c r="E164" s="271" t="s">
        <v>344</v>
      </c>
      <c r="F164" s="271" t="s">
        <v>279</v>
      </c>
      <c r="G164" s="271" t="s">
        <v>280</v>
      </c>
      <c r="H164" s="271" t="s">
        <v>173</v>
      </c>
      <c r="I164" s="370">
        <v>24078.31</v>
      </c>
      <c r="J164" s="371"/>
      <c r="K164" s="372"/>
    </row>
    <row r="165" spans="1:11">
      <c r="A165" s="271" t="s">
        <v>260</v>
      </c>
      <c r="B165" s="368" t="s">
        <v>170</v>
      </c>
      <c r="C165" s="369"/>
      <c r="D165" s="271" t="s">
        <v>343</v>
      </c>
      <c r="E165" s="271" t="s">
        <v>344</v>
      </c>
      <c r="F165" s="271" t="s">
        <v>281</v>
      </c>
      <c r="G165" s="271" t="s">
        <v>282</v>
      </c>
      <c r="H165" s="271" t="s">
        <v>173</v>
      </c>
      <c r="I165" s="370">
        <v>11528.37</v>
      </c>
      <c r="J165" s="371"/>
      <c r="K165" s="372"/>
    </row>
    <row r="166" spans="1:11" ht="24">
      <c r="A166" s="271" t="s">
        <v>260</v>
      </c>
      <c r="B166" s="368" t="s">
        <v>170</v>
      </c>
      <c r="C166" s="369"/>
      <c r="D166" s="271" t="s">
        <v>343</v>
      </c>
      <c r="E166" s="271" t="s">
        <v>344</v>
      </c>
      <c r="F166" s="271" t="s">
        <v>285</v>
      </c>
      <c r="G166" s="271" t="s">
        <v>286</v>
      </c>
      <c r="H166" s="271" t="s">
        <v>173</v>
      </c>
      <c r="I166" s="370">
        <v>1614.07</v>
      </c>
      <c r="J166" s="371"/>
      <c r="K166" s="372"/>
    </row>
    <row r="167" spans="1:11" ht="24">
      <c r="A167" s="271" t="s">
        <v>260</v>
      </c>
      <c r="B167" s="368" t="s">
        <v>170</v>
      </c>
      <c r="C167" s="369"/>
      <c r="D167" s="271" t="s">
        <v>343</v>
      </c>
      <c r="E167" s="271" t="s">
        <v>344</v>
      </c>
      <c r="F167" s="271" t="s">
        <v>329</v>
      </c>
      <c r="G167" s="271" t="s">
        <v>330</v>
      </c>
      <c r="H167" s="271" t="s">
        <v>173</v>
      </c>
      <c r="I167" s="370">
        <v>4838.24</v>
      </c>
      <c r="J167" s="371"/>
      <c r="K167" s="372"/>
    </row>
    <row r="168" spans="1:11" ht="24">
      <c r="A168" s="271" t="s">
        <v>260</v>
      </c>
      <c r="B168" s="368" t="s">
        <v>170</v>
      </c>
      <c r="C168" s="369"/>
      <c r="D168" s="271" t="s">
        <v>343</v>
      </c>
      <c r="E168" s="271" t="s">
        <v>344</v>
      </c>
      <c r="F168" s="271" t="s">
        <v>287</v>
      </c>
      <c r="G168" s="271" t="s">
        <v>288</v>
      </c>
      <c r="H168" s="271" t="s">
        <v>173</v>
      </c>
      <c r="I168" s="370">
        <v>49840.71</v>
      </c>
      <c r="J168" s="371"/>
      <c r="K168" s="372"/>
    </row>
    <row r="169" spans="1:11">
      <c r="A169" s="271" t="s">
        <v>260</v>
      </c>
      <c r="B169" s="368" t="s">
        <v>170</v>
      </c>
      <c r="C169" s="369"/>
      <c r="D169" s="271" t="s">
        <v>343</v>
      </c>
      <c r="E169" s="271" t="s">
        <v>344</v>
      </c>
      <c r="F169" s="271" t="s">
        <v>289</v>
      </c>
      <c r="G169" s="271" t="s">
        <v>290</v>
      </c>
      <c r="H169" s="271" t="s">
        <v>173</v>
      </c>
      <c r="I169" s="370">
        <v>460374.07</v>
      </c>
      <c r="J169" s="371"/>
      <c r="K169" s="372"/>
    </row>
    <row r="170" spans="1:11">
      <c r="A170" s="271" t="s">
        <v>260</v>
      </c>
      <c r="B170" s="368" t="s">
        <v>170</v>
      </c>
      <c r="C170" s="369"/>
      <c r="D170" s="271" t="s">
        <v>343</v>
      </c>
      <c r="E170" s="271" t="s">
        <v>344</v>
      </c>
      <c r="F170" s="271" t="s">
        <v>345</v>
      </c>
      <c r="G170" s="271" t="s">
        <v>346</v>
      </c>
      <c r="H170" s="271" t="s">
        <v>173</v>
      </c>
      <c r="I170" s="370">
        <v>27383.62</v>
      </c>
      <c r="J170" s="371"/>
      <c r="K170" s="372"/>
    </row>
    <row r="171" spans="1:11">
      <c r="A171" s="271" t="s">
        <v>260</v>
      </c>
      <c r="B171" s="368" t="s">
        <v>170</v>
      </c>
      <c r="C171" s="369"/>
      <c r="D171" s="271" t="s">
        <v>343</v>
      </c>
      <c r="E171" s="271" t="s">
        <v>344</v>
      </c>
      <c r="F171" s="271" t="s">
        <v>291</v>
      </c>
      <c r="G171" s="271" t="s">
        <v>292</v>
      </c>
      <c r="H171" s="271" t="s">
        <v>173</v>
      </c>
      <c r="I171" s="370">
        <v>5254.32</v>
      </c>
      <c r="J171" s="371"/>
      <c r="K171" s="372"/>
    </row>
    <row r="172" spans="1:11">
      <c r="A172" s="271" t="s">
        <v>260</v>
      </c>
      <c r="B172" s="368" t="s">
        <v>170</v>
      </c>
      <c r="C172" s="369"/>
      <c r="D172" s="271" t="s">
        <v>343</v>
      </c>
      <c r="E172" s="271" t="s">
        <v>344</v>
      </c>
      <c r="F172" s="271" t="s">
        <v>335</v>
      </c>
      <c r="G172" s="271" t="s">
        <v>336</v>
      </c>
      <c r="H172" s="271" t="s">
        <v>173</v>
      </c>
      <c r="I172" s="370">
        <v>770</v>
      </c>
      <c r="J172" s="371"/>
      <c r="K172" s="372"/>
    </row>
    <row r="173" spans="1:11">
      <c r="A173" s="271" t="s">
        <v>260</v>
      </c>
      <c r="B173" s="368" t="s">
        <v>170</v>
      </c>
      <c r="C173" s="369"/>
      <c r="D173" s="271" t="s">
        <v>343</v>
      </c>
      <c r="E173" s="271" t="s">
        <v>344</v>
      </c>
      <c r="F173" s="271" t="s">
        <v>301</v>
      </c>
      <c r="G173" s="271" t="s">
        <v>302</v>
      </c>
      <c r="H173" s="271" t="s">
        <v>173</v>
      </c>
      <c r="I173" s="370">
        <v>13957.35</v>
      </c>
      <c r="J173" s="371"/>
      <c r="K173" s="372"/>
    </row>
    <row r="174" spans="1:11" ht="24">
      <c r="A174" s="271" t="s">
        <v>260</v>
      </c>
      <c r="B174" s="368" t="s">
        <v>170</v>
      </c>
      <c r="C174" s="369"/>
      <c r="D174" s="271" t="s">
        <v>347</v>
      </c>
      <c r="E174" s="271" t="s">
        <v>348</v>
      </c>
      <c r="F174" s="271" t="s">
        <v>285</v>
      </c>
      <c r="G174" s="271" t="s">
        <v>286</v>
      </c>
      <c r="H174" s="271" t="s">
        <v>173</v>
      </c>
      <c r="I174" s="370">
        <v>37114.61</v>
      </c>
      <c r="J174" s="371"/>
      <c r="K174" s="372"/>
    </row>
    <row r="175" spans="1:11">
      <c r="A175" s="271" t="s">
        <v>260</v>
      </c>
      <c r="B175" s="368" t="s">
        <v>170</v>
      </c>
      <c r="C175" s="369"/>
      <c r="D175" s="271" t="s">
        <v>349</v>
      </c>
      <c r="E175" s="271" t="s">
        <v>350</v>
      </c>
      <c r="F175" s="271" t="s">
        <v>263</v>
      </c>
      <c r="G175" s="271" t="s">
        <v>264</v>
      </c>
      <c r="H175" s="271" t="s">
        <v>173</v>
      </c>
      <c r="I175" s="370">
        <v>332048</v>
      </c>
      <c r="J175" s="371"/>
      <c r="K175" s="372"/>
    </row>
    <row r="176" spans="1:11">
      <c r="A176" s="271" t="s">
        <v>260</v>
      </c>
      <c r="B176" s="368" t="s">
        <v>170</v>
      </c>
      <c r="C176" s="369"/>
      <c r="D176" s="271" t="s">
        <v>349</v>
      </c>
      <c r="E176" s="271" t="s">
        <v>350</v>
      </c>
      <c r="F176" s="271" t="s">
        <v>351</v>
      </c>
      <c r="G176" s="271" t="s">
        <v>352</v>
      </c>
      <c r="H176" s="271" t="s">
        <v>173</v>
      </c>
      <c r="I176" s="370">
        <v>52384</v>
      </c>
      <c r="J176" s="371"/>
      <c r="K176" s="372"/>
    </row>
    <row r="177" spans="1:11">
      <c r="A177" s="271" t="s">
        <v>260</v>
      </c>
      <c r="B177" s="368" t="s">
        <v>170</v>
      </c>
      <c r="C177" s="369"/>
      <c r="D177" s="271" t="s">
        <v>349</v>
      </c>
      <c r="E177" s="271" t="s">
        <v>350</v>
      </c>
      <c r="F177" s="271" t="s">
        <v>269</v>
      </c>
      <c r="G177" s="271" t="s">
        <v>270</v>
      </c>
      <c r="H177" s="271" t="s">
        <v>173</v>
      </c>
      <c r="I177" s="370">
        <v>15847</v>
      </c>
      <c r="J177" s="371"/>
      <c r="K177" s="372"/>
    </row>
    <row r="178" spans="1:11">
      <c r="A178" s="271" t="s">
        <v>260</v>
      </c>
      <c r="B178" s="368" t="s">
        <v>170</v>
      </c>
      <c r="C178" s="369"/>
      <c r="D178" s="271" t="s">
        <v>349</v>
      </c>
      <c r="E178" s="271" t="s">
        <v>350</v>
      </c>
      <c r="F178" s="271" t="s">
        <v>271</v>
      </c>
      <c r="G178" s="271" t="s">
        <v>272</v>
      </c>
      <c r="H178" s="271" t="s">
        <v>173</v>
      </c>
      <c r="I178" s="370">
        <v>2000</v>
      </c>
      <c r="J178" s="371"/>
      <c r="K178" s="372"/>
    </row>
    <row r="179" spans="1:11">
      <c r="A179" s="271" t="s">
        <v>260</v>
      </c>
      <c r="B179" s="368" t="s">
        <v>170</v>
      </c>
      <c r="C179" s="369"/>
      <c r="D179" s="271" t="s">
        <v>349</v>
      </c>
      <c r="E179" s="271" t="s">
        <v>350</v>
      </c>
      <c r="F179" s="271" t="s">
        <v>273</v>
      </c>
      <c r="G179" s="271" t="s">
        <v>274</v>
      </c>
      <c r="H179" s="271" t="s">
        <v>173</v>
      </c>
      <c r="I179" s="370">
        <v>9008</v>
      </c>
      <c r="J179" s="371"/>
      <c r="K179" s="372"/>
    </row>
    <row r="180" spans="1:11">
      <c r="A180" s="271" t="s">
        <v>260</v>
      </c>
      <c r="B180" s="368" t="s">
        <v>170</v>
      </c>
      <c r="C180" s="369"/>
      <c r="D180" s="271" t="s">
        <v>349</v>
      </c>
      <c r="E180" s="271" t="s">
        <v>350</v>
      </c>
      <c r="F180" s="271" t="s">
        <v>353</v>
      </c>
      <c r="G180" s="271" t="s">
        <v>354</v>
      </c>
      <c r="H180" s="271" t="s">
        <v>173</v>
      </c>
      <c r="I180" s="370">
        <v>4810.7299999999996</v>
      </c>
      <c r="J180" s="371"/>
      <c r="K180" s="372"/>
    </row>
    <row r="181" spans="1:11">
      <c r="A181" s="271" t="s">
        <v>260</v>
      </c>
      <c r="B181" s="368" t="s">
        <v>170</v>
      </c>
      <c r="C181" s="369"/>
      <c r="D181" s="271" t="s">
        <v>355</v>
      </c>
      <c r="E181" s="271" t="s">
        <v>356</v>
      </c>
      <c r="F181" s="271" t="s">
        <v>301</v>
      </c>
      <c r="G181" s="271" t="s">
        <v>302</v>
      </c>
      <c r="H181" s="271" t="s">
        <v>173</v>
      </c>
      <c r="I181" s="370">
        <v>116398.41</v>
      </c>
      <c r="J181" s="371"/>
      <c r="K181" s="372"/>
    </row>
    <row r="182" spans="1:11">
      <c r="A182" s="271" t="s">
        <v>260</v>
      </c>
      <c r="B182" s="368" t="s">
        <v>170</v>
      </c>
      <c r="C182" s="369"/>
      <c r="D182" s="271" t="s">
        <v>355</v>
      </c>
      <c r="E182" s="271" t="s">
        <v>356</v>
      </c>
      <c r="F182" s="271" t="s">
        <v>357</v>
      </c>
      <c r="G182" s="271" t="s">
        <v>358</v>
      </c>
      <c r="H182" s="271" t="s">
        <v>173</v>
      </c>
      <c r="I182" s="370">
        <v>120097</v>
      </c>
      <c r="J182" s="371"/>
      <c r="K182" s="372"/>
    </row>
    <row r="183" spans="1:11">
      <c r="A183" s="271" t="s">
        <v>260</v>
      </c>
      <c r="B183" s="368" t="s">
        <v>170</v>
      </c>
      <c r="C183" s="369"/>
      <c r="D183" s="271" t="s">
        <v>359</v>
      </c>
      <c r="E183" s="271" t="s">
        <v>360</v>
      </c>
      <c r="F183" s="271" t="s">
        <v>357</v>
      </c>
      <c r="G183" s="271" t="s">
        <v>358</v>
      </c>
      <c r="H183" s="271" t="s">
        <v>173</v>
      </c>
      <c r="I183" s="370">
        <v>229375.8</v>
      </c>
      <c r="J183" s="371"/>
      <c r="K183" s="372"/>
    </row>
    <row r="184" spans="1:11" ht="24">
      <c r="A184" s="271" t="s">
        <v>260</v>
      </c>
      <c r="B184" s="368" t="s">
        <v>170</v>
      </c>
      <c r="C184" s="369"/>
      <c r="D184" s="271" t="s">
        <v>361</v>
      </c>
      <c r="E184" s="271" t="s">
        <v>362</v>
      </c>
      <c r="F184" s="271" t="s">
        <v>329</v>
      </c>
      <c r="G184" s="271" t="s">
        <v>330</v>
      </c>
      <c r="H184" s="271" t="s">
        <v>173</v>
      </c>
      <c r="I184" s="370">
        <v>229515.51</v>
      </c>
      <c r="J184" s="371"/>
      <c r="K184" s="372"/>
    </row>
    <row r="185" spans="1:11" ht="24">
      <c r="A185" s="271" t="s">
        <v>260</v>
      </c>
      <c r="B185" s="368" t="s">
        <v>170</v>
      </c>
      <c r="C185" s="369"/>
      <c r="D185" s="271" t="s">
        <v>361</v>
      </c>
      <c r="E185" s="271" t="s">
        <v>362</v>
      </c>
      <c r="F185" s="271" t="s">
        <v>287</v>
      </c>
      <c r="G185" s="271" t="s">
        <v>288</v>
      </c>
      <c r="H185" s="271" t="s">
        <v>173</v>
      </c>
      <c r="I185" s="370">
        <v>6335177.9900000002</v>
      </c>
      <c r="J185" s="371"/>
      <c r="K185" s="372"/>
    </row>
    <row r="186" spans="1:11" ht="24">
      <c r="A186" s="271" t="s">
        <v>260</v>
      </c>
      <c r="B186" s="368" t="s">
        <v>170</v>
      </c>
      <c r="C186" s="369"/>
      <c r="D186" s="271" t="s">
        <v>361</v>
      </c>
      <c r="E186" s="271" t="s">
        <v>362</v>
      </c>
      <c r="F186" s="271" t="s">
        <v>289</v>
      </c>
      <c r="G186" s="271" t="s">
        <v>290</v>
      </c>
      <c r="H186" s="271" t="s">
        <v>173</v>
      </c>
      <c r="I186" s="370">
        <v>12904.23</v>
      </c>
      <c r="J186" s="371"/>
      <c r="K186" s="372"/>
    </row>
    <row r="187" spans="1:11" ht="24">
      <c r="A187" s="271" t="s">
        <v>260</v>
      </c>
      <c r="B187" s="368" t="s">
        <v>170</v>
      </c>
      <c r="C187" s="369"/>
      <c r="D187" s="271" t="s">
        <v>361</v>
      </c>
      <c r="E187" s="271" t="s">
        <v>362</v>
      </c>
      <c r="F187" s="271" t="s">
        <v>301</v>
      </c>
      <c r="G187" s="271" t="s">
        <v>302</v>
      </c>
      <c r="H187" s="271" t="s">
        <v>173</v>
      </c>
      <c r="I187" s="370">
        <v>23978.44</v>
      </c>
      <c r="J187" s="371"/>
      <c r="K187" s="372"/>
    </row>
    <row r="188" spans="1:11">
      <c r="A188" s="271" t="s">
        <v>260</v>
      </c>
      <c r="B188" s="368" t="s">
        <v>170</v>
      </c>
      <c r="C188" s="369"/>
      <c r="D188" s="271" t="s">
        <v>363</v>
      </c>
      <c r="E188" s="271" t="s">
        <v>364</v>
      </c>
      <c r="F188" s="271" t="s">
        <v>301</v>
      </c>
      <c r="G188" s="271" t="s">
        <v>302</v>
      </c>
      <c r="H188" s="271" t="s">
        <v>173</v>
      </c>
      <c r="I188" s="370">
        <v>20000</v>
      </c>
      <c r="J188" s="371"/>
      <c r="K188" s="372"/>
    </row>
    <row r="189" spans="1:11">
      <c r="A189" s="271" t="s">
        <v>260</v>
      </c>
      <c r="B189" s="368" t="s">
        <v>170</v>
      </c>
      <c r="C189" s="369"/>
      <c r="D189" s="271" t="s">
        <v>365</v>
      </c>
      <c r="E189" s="271" t="s">
        <v>366</v>
      </c>
      <c r="F189" s="271" t="s">
        <v>263</v>
      </c>
      <c r="G189" s="271" t="s">
        <v>264</v>
      </c>
      <c r="H189" s="271" t="s">
        <v>173</v>
      </c>
      <c r="I189" s="370">
        <v>1621970.27</v>
      </c>
      <c r="J189" s="371"/>
      <c r="K189" s="372"/>
    </row>
    <row r="190" spans="1:11">
      <c r="A190" s="271" t="s">
        <v>260</v>
      </c>
      <c r="B190" s="368" t="s">
        <v>170</v>
      </c>
      <c r="C190" s="369"/>
      <c r="D190" s="271" t="s">
        <v>365</v>
      </c>
      <c r="E190" s="271" t="s">
        <v>366</v>
      </c>
      <c r="F190" s="271" t="s">
        <v>269</v>
      </c>
      <c r="G190" s="271" t="s">
        <v>270</v>
      </c>
      <c r="H190" s="271" t="s">
        <v>173</v>
      </c>
      <c r="I190" s="370">
        <v>109499</v>
      </c>
      <c r="J190" s="371"/>
      <c r="K190" s="372"/>
    </row>
    <row r="191" spans="1:11">
      <c r="A191" s="271" t="s">
        <v>260</v>
      </c>
      <c r="B191" s="368" t="s">
        <v>170</v>
      </c>
      <c r="C191" s="369"/>
      <c r="D191" s="271" t="s">
        <v>365</v>
      </c>
      <c r="E191" s="271" t="s">
        <v>366</v>
      </c>
      <c r="F191" s="271" t="s">
        <v>271</v>
      </c>
      <c r="G191" s="271" t="s">
        <v>272</v>
      </c>
      <c r="H191" s="271" t="s">
        <v>173</v>
      </c>
      <c r="I191" s="370">
        <v>17600.009999999998</v>
      </c>
      <c r="J191" s="371"/>
      <c r="K191" s="372"/>
    </row>
    <row r="192" spans="1:11">
      <c r="A192" s="271" t="s">
        <v>260</v>
      </c>
      <c r="B192" s="368" t="s">
        <v>170</v>
      </c>
      <c r="C192" s="369"/>
      <c r="D192" s="271" t="s">
        <v>365</v>
      </c>
      <c r="E192" s="271" t="s">
        <v>366</v>
      </c>
      <c r="F192" s="271" t="s">
        <v>273</v>
      </c>
      <c r="G192" s="271" t="s">
        <v>274</v>
      </c>
      <c r="H192" s="271" t="s">
        <v>173</v>
      </c>
      <c r="I192" s="370">
        <v>36857</v>
      </c>
      <c r="J192" s="371"/>
      <c r="K192" s="372"/>
    </row>
    <row r="193" spans="1:11">
      <c r="A193" s="271" t="s">
        <v>260</v>
      </c>
      <c r="B193" s="368" t="s">
        <v>170</v>
      </c>
      <c r="C193" s="369"/>
      <c r="D193" s="271" t="s">
        <v>365</v>
      </c>
      <c r="E193" s="271" t="s">
        <v>366</v>
      </c>
      <c r="F193" s="271" t="s">
        <v>337</v>
      </c>
      <c r="G193" s="271" t="s">
        <v>338</v>
      </c>
      <c r="H193" s="271" t="s">
        <v>173</v>
      </c>
      <c r="I193" s="370">
        <v>3440752</v>
      </c>
      <c r="J193" s="371"/>
      <c r="K193" s="372"/>
    </row>
    <row r="194" spans="1:11">
      <c r="A194" s="271" t="s">
        <v>260</v>
      </c>
      <c r="B194" s="368" t="s">
        <v>170</v>
      </c>
      <c r="C194" s="369"/>
      <c r="D194" s="271" t="s">
        <v>367</v>
      </c>
      <c r="E194" s="271" t="s">
        <v>368</v>
      </c>
      <c r="F194" s="271" t="s">
        <v>337</v>
      </c>
      <c r="G194" s="271" t="s">
        <v>338</v>
      </c>
      <c r="H194" s="271" t="s">
        <v>173</v>
      </c>
      <c r="I194" s="370">
        <v>45168</v>
      </c>
      <c r="J194" s="371"/>
      <c r="K194" s="372"/>
    </row>
    <row r="195" spans="1:11" ht="24">
      <c r="A195" s="271" t="s">
        <v>260</v>
      </c>
      <c r="B195" s="368" t="s">
        <v>170</v>
      </c>
      <c r="C195" s="369"/>
      <c r="D195" s="271" t="s">
        <v>369</v>
      </c>
      <c r="E195" s="271" t="s">
        <v>370</v>
      </c>
      <c r="F195" s="271" t="s">
        <v>337</v>
      </c>
      <c r="G195" s="271" t="s">
        <v>338</v>
      </c>
      <c r="H195" s="271" t="s">
        <v>173</v>
      </c>
      <c r="I195" s="370">
        <v>277352.19</v>
      </c>
      <c r="J195" s="371"/>
      <c r="K195" s="372"/>
    </row>
    <row r="196" spans="1:11" ht="24">
      <c r="A196" s="271" t="s">
        <v>260</v>
      </c>
      <c r="B196" s="368" t="s">
        <v>170</v>
      </c>
      <c r="C196" s="369"/>
      <c r="D196" s="271" t="s">
        <v>369</v>
      </c>
      <c r="E196" s="271" t="s">
        <v>370</v>
      </c>
      <c r="F196" s="271" t="s">
        <v>371</v>
      </c>
      <c r="G196" s="271" t="s">
        <v>372</v>
      </c>
      <c r="H196" s="271" t="s">
        <v>173</v>
      </c>
      <c r="I196" s="370">
        <v>1066088.6599999999</v>
      </c>
      <c r="J196" s="371"/>
      <c r="K196" s="372"/>
    </row>
    <row r="197" spans="1:11" ht="24">
      <c r="A197" s="271" t="s">
        <v>260</v>
      </c>
      <c r="B197" s="368" t="s">
        <v>170</v>
      </c>
      <c r="C197" s="369"/>
      <c r="D197" s="271" t="s">
        <v>373</v>
      </c>
      <c r="E197" s="271" t="s">
        <v>374</v>
      </c>
      <c r="F197" s="271" t="s">
        <v>287</v>
      </c>
      <c r="G197" s="271" t="s">
        <v>288</v>
      </c>
      <c r="H197" s="271" t="s">
        <v>173</v>
      </c>
      <c r="I197" s="370">
        <v>84701.21</v>
      </c>
      <c r="J197" s="371"/>
      <c r="K197" s="372"/>
    </row>
    <row r="198" spans="1:11">
      <c r="A198" s="271" t="s">
        <v>260</v>
      </c>
      <c r="B198" s="368" t="s">
        <v>170</v>
      </c>
      <c r="C198" s="369"/>
      <c r="D198" s="271" t="s">
        <v>373</v>
      </c>
      <c r="E198" s="271" t="s">
        <v>374</v>
      </c>
      <c r="F198" s="271" t="s">
        <v>289</v>
      </c>
      <c r="G198" s="271" t="s">
        <v>290</v>
      </c>
      <c r="H198" s="271" t="s">
        <v>173</v>
      </c>
      <c r="I198" s="370">
        <v>79253.789999999994</v>
      </c>
      <c r="J198" s="371"/>
      <c r="K198" s="372"/>
    </row>
    <row r="199" spans="1:11">
      <c r="A199" s="271" t="s">
        <v>260</v>
      </c>
      <c r="B199" s="368" t="s">
        <v>170</v>
      </c>
      <c r="C199" s="369"/>
      <c r="D199" s="271" t="s">
        <v>375</v>
      </c>
      <c r="E199" s="271" t="s">
        <v>376</v>
      </c>
      <c r="F199" s="271" t="s">
        <v>279</v>
      </c>
      <c r="G199" s="271" t="s">
        <v>280</v>
      </c>
      <c r="H199" s="271" t="s">
        <v>173</v>
      </c>
      <c r="I199" s="370">
        <v>1917719.92</v>
      </c>
      <c r="J199" s="371"/>
      <c r="K199" s="372"/>
    </row>
    <row r="200" spans="1:11" ht="24">
      <c r="A200" s="271" t="s">
        <v>260</v>
      </c>
      <c r="B200" s="368" t="s">
        <v>170</v>
      </c>
      <c r="C200" s="369"/>
      <c r="D200" s="271" t="s">
        <v>375</v>
      </c>
      <c r="E200" s="271" t="s">
        <v>376</v>
      </c>
      <c r="F200" s="271" t="s">
        <v>287</v>
      </c>
      <c r="G200" s="271" t="s">
        <v>288</v>
      </c>
      <c r="H200" s="271" t="s">
        <v>173</v>
      </c>
      <c r="I200" s="370">
        <v>522531.93</v>
      </c>
      <c r="J200" s="371"/>
      <c r="K200" s="372"/>
    </row>
    <row r="201" spans="1:11">
      <c r="A201" s="271" t="s">
        <v>260</v>
      </c>
      <c r="B201" s="368" t="s">
        <v>170</v>
      </c>
      <c r="C201" s="369"/>
      <c r="D201" s="271" t="s">
        <v>375</v>
      </c>
      <c r="E201" s="271" t="s">
        <v>376</v>
      </c>
      <c r="F201" s="271" t="s">
        <v>289</v>
      </c>
      <c r="G201" s="271" t="s">
        <v>290</v>
      </c>
      <c r="H201" s="271" t="s">
        <v>173</v>
      </c>
      <c r="I201" s="370">
        <v>15184.9</v>
      </c>
      <c r="J201" s="371"/>
      <c r="K201" s="372"/>
    </row>
    <row r="202" spans="1:11">
      <c r="A202" s="271" t="s">
        <v>260</v>
      </c>
      <c r="B202" s="368" t="s">
        <v>170</v>
      </c>
      <c r="C202" s="369"/>
      <c r="D202" s="271" t="s">
        <v>375</v>
      </c>
      <c r="E202" s="271" t="s">
        <v>376</v>
      </c>
      <c r="F202" s="271" t="s">
        <v>305</v>
      </c>
      <c r="G202" s="271" t="s">
        <v>306</v>
      </c>
      <c r="H202" s="271" t="s">
        <v>226</v>
      </c>
      <c r="I202" s="370">
        <v>1132582.97</v>
      </c>
      <c r="J202" s="371"/>
      <c r="K202" s="372"/>
    </row>
    <row r="203" spans="1:11" ht="36">
      <c r="A203" s="271" t="s">
        <v>260</v>
      </c>
      <c r="B203" s="368" t="s">
        <v>170</v>
      </c>
      <c r="C203" s="369"/>
      <c r="D203" s="271" t="s">
        <v>375</v>
      </c>
      <c r="E203" s="271" t="s">
        <v>376</v>
      </c>
      <c r="F203" s="271" t="s">
        <v>307</v>
      </c>
      <c r="G203" s="271" t="s">
        <v>308</v>
      </c>
      <c r="H203" s="271" t="s">
        <v>173</v>
      </c>
      <c r="I203" s="370">
        <v>-2429.71</v>
      </c>
      <c r="J203" s="371"/>
      <c r="K203" s="372"/>
    </row>
    <row r="204" spans="1:11" ht="24">
      <c r="A204" s="271" t="s">
        <v>260</v>
      </c>
      <c r="B204" s="368" t="s">
        <v>170</v>
      </c>
      <c r="C204" s="369"/>
      <c r="D204" s="271" t="s">
        <v>377</v>
      </c>
      <c r="E204" s="271" t="s">
        <v>378</v>
      </c>
      <c r="F204" s="271" t="s">
        <v>279</v>
      </c>
      <c r="G204" s="271" t="s">
        <v>280</v>
      </c>
      <c r="H204" s="271" t="s">
        <v>173</v>
      </c>
      <c r="I204" s="370">
        <v>29634.75</v>
      </c>
      <c r="J204" s="371"/>
      <c r="K204" s="372"/>
    </row>
    <row r="205" spans="1:11" ht="24">
      <c r="A205" s="271" t="s">
        <v>260</v>
      </c>
      <c r="B205" s="368" t="s">
        <v>170</v>
      </c>
      <c r="C205" s="369"/>
      <c r="D205" s="271" t="s">
        <v>377</v>
      </c>
      <c r="E205" s="271" t="s">
        <v>378</v>
      </c>
      <c r="F205" s="271" t="s">
        <v>281</v>
      </c>
      <c r="G205" s="271" t="s">
        <v>282</v>
      </c>
      <c r="H205" s="271" t="s">
        <v>173</v>
      </c>
      <c r="I205" s="370">
        <v>991752.53</v>
      </c>
      <c r="J205" s="371"/>
      <c r="K205" s="372"/>
    </row>
    <row r="206" spans="1:11" ht="24">
      <c r="A206" s="271" t="s">
        <v>260</v>
      </c>
      <c r="B206" s="368" t="s">
        <v>170</v>
      </c>
      <c r="C206" s="369"/>
      <c r="D206" s="271" t="s">
        <v>377</v>
      </c>
      <c r="E206" s="271" t="s">
        <v>378</v>
      </c>
      <c r="F206" s="271" t="s">
        <v>287</v>
      </c>
      <c r="G206" s="271" t="s">
        <v>288</v>
      </c>
      <c r="H206" s="271" t="s">
        <v>173</v>
      </c>
      <c r="I206" s="370">
        <v>7005419.7300000004</v>
      </c>
      <c r="J206" s="371"/>
      <c r="K206" s="372"/>
    </row>
    <row r="207" spans="1:11" ht="24">
      <c r="A207" s="271" t="s">
        <v>260</v>
      </c>
      <c r="B207" s="368" t="s">
        <v>170</v>
      </c>
      <c r="C207" s="369"/>
      <c r="D207" s="271" t="s">
        <v>377</v>
      </c>
      <c r="E207" s="271" t="s">
        <v>378</v>
      </c>
      <c r="F207" s="271" t="s">
        <v>379</v>
      </c>
      <c r="G207" s="271" t="s">
        <v>380</v>
      </c>
      <c r="H207" s="271" t="s">
        <v>173</v>
      </c>
      <c r="I207" s="370">
        <v>399089.56</v>
      </c>
      <c r="J207" s="371"/>
      <c r="K207" s="372"/>
    </row>
    <row r="208" spans="1:11" ht="24">
      <c r="A208" s="271" t="s">
        <v>260</v>
      </c>
      <c r="B208" s="368" t="s">
        <v>170</v>
      </c>
      <c r="C208" s="369"/>
      <c r="D208" s="271" t="s">
        <v>377</v>
      </c>
      <c r="E208" s="271" t="s">
        <v>378</v>
      </c>
      <c r="F208" s="271" t="s">
        <v>297</v>
      </c>
      <c r="G208" s="271" t="s">
        <v>298</v>
      </c>
      <c r="H208" s="271" t="s">
        <v>173</v>
      </c>
      <c r="I208" s="370">
        <v>293106.5</v>
      </c>
      <c r="J208" s="371"/>
      <c r="K208" s="372"/>
    </row>
    <row r="209" spans="1:11" ht="24">
      <c r="A209" s="271" t="s">
        <v>260</v>
      </c>
      <c r="B209" s="368" t="s">
        <v>170</v>
      </c>
      <c r="C209" s="369"/>
      <c r="D209" s="271" t="s">
        <v>377</v>
      </c>
      <c r="E209" s="271" t="s">
        <v>378</v>
      </c>
      <c r="F209" s="271" t="s">
        <v>301</v>
      </c>
      <c r="G209" s="271" t="s">
        <v>302</v>
      </c>
      <c r="H209" s="271" t="s">
        <v>173</v>
      </c>
      <c r="I209" s="370">
        <v>9034836.3100000005</v>
      </c>
      <c r="J209" s="371"/>
      <c r="K209" s="372"/>
    </row>
    <row r="210" spans="1:11" ht="24">
      <c r="A210" s="271" t="s">
        <v>260</v>
      </c>
      <c r="B210" s="368" t="s">
        <v>170</v>
      </c>
      <c r="C210" s="369"/>
      <c r="D210" s="271" t="s">
        <v>377</v>
      </c>
      <c r="E210" s="271" t="s">
        <v>378</v>
      </c>
      <c r="F210" s="271" t="s">
        <v>381</v>
      </c>
      <c r="G210" s="271" t="s">
        <v>382</v>
      </c>
      <c r="H210" s="271" t="s">
        <v>226</v>
      </c>
      <c r="I210" s="370">
        <v>2783145.84</v>
      </c>
      <c r="J210" s="371"/>
      <c r="K210" s="372"/>
    </row>
    <row r="211" spans="1:11" ht="24">
      <c r="A211" s="271" t="s">
        <v>260</v>
      </c>
      <c r="B211" s="368" t="s">
        <v>170</v>
      </c>
      <c r="C211" s="369"/>
      <c r="D211" s="271" t="s">
        <v>377</v>
      </c>
      <c r="E211" s="271" t="s">
        <v>378</v>
      </c>
      <c r="F211" s="271" t="s">
        <v>383</v>
      </c>
      <c r="G211" s="271" t="s">
        <v>384</v>
      </c>
      <c r="H211" s="271" t="s">
        <v>226</v>
      </c>
      <c r="I211" s="370">
        <v>5907877.1100000003</v>
      </c>
      <c r="J211" s="371"/>
      <c r="K211" s="372"/>
    </row>
    <row r="212" spans="1:11" ht="24">
      <c r="A212" s="271" t="s">
        <v>260</v>
      </c>
      <c r="B212" s="368" t="s">
        <v>170</v>
      </c>
      <c r="C212" s="369"/>
      <c r="D212" s="271" t="s">
        <v>377</v>
      </c>
      <c r="E212" s="271" t="s">
        <v>378</v>
      </c>
      <c r="F212" s="271" t="s">
        <v>385</v>
      </c>
      <c r="G212" s="271" t="s">
        <v>386</v>
      </c>
      <c r="H212" s="271" t="s">
        <v>226</v>
      </c>
      <c r="I212" s="370">
        <v>1758318.95</v>
      </c>
      <c r="J212" s="371"/>
      <c r="K212" s="372"/>
    </row>
    <row r="213" spans="1:11" ht="24">
      <c r="A213" s="271" t="s">
        <v>260</v>
      </c>
      <c r="B213" s="368" t="s">
        <v>170</v>
      </c>
      <c r="C213" s="369"/>
      <c r="D213" s="271" t="s">
        <v>377</v>
      </c>
      <c r="E213" s="271" t="s">
        <v>378</v>
      </c>
      <c r="F213" s="271" t="s">
        <v>387</v>
      </c>
      <c r="G213" s="271" t="s">
        <v>388</v>
      </c>
      <c r="H213" s="271" t="s">
        <v>173</v>
      </c>
      <c r="I213" s="370">
        <v>527709.78</v>
      </c>
      <c r="J213" s="371"/>
      <c r="K213" s="372"/>
    </row>
    <row r="214" spans="1:11" ht="24">
      <c r="A214" s="271" t="s">
        <v>260</v>
      </c>
      <c r="B214" s="368" t="s">
        <v>170</v>
      </c>
      <c r="C214" s="369"/>
      <c r="D214" s="271" t="s">
        <v>377</v>
      </c>
      <c r="E214" s="271" t="s">
        <v>378</v>
      </c>
      <c r="F214" s="271" t="s">
        <v>389</v>
      </c>
      <c r="G214" s="271" t="s">
        <v>390</v>
      </c>
      <c r="H214" s="271" t="s">
        <v>173</v>
      </c>
      <c r="I214" s="370">
        <v>790620.34</v>
      </c>
      <c r="J214" s="371"/>
      <c r="K214" s="372"/>
    </row>
    <row r="215" spans="1:11" ht="24">
      <c r="A215" s="271" t="s">
        <v>260</v>
      </c>
      <c r="B215" s="368" t="s">
        <v>170</v>
      </c>
      <c r="C215" s="369"/>
      <c r="D215" s="271" t="s">
        <v>377</v>
      </c>
      <c r="E215" s="271" t="s">
        <v>378</v>
      </c>
      <c r="F215" s="271" t="s">
        <v>391</v>
      </c>
      <c r="G215" s="271" t="s">
        <v>240</v>
      </c>
      <c r="H215" s="271" t="s">
        <v>226</v>
      </c>
      <c r="I215" s="370">
        <v>1272386.8799999999</v>
      </c>
      <c r="J215" s="371"/>
      <c r="K215" s="372"/>
    </row>
    <row r="216" spans="1:11" ht="24">
      <c r="A216" s="271" t="s">
        <v>260</v>
      </c>
      <c r="B216" s="368" t="s">
        <v>170</v>
      </c>
      <c r="C216" s="369"/>
      <c r="D216" s="271" t="s">
        <v>377</v>
      </c>
      <c r="E216" s="271" t="s">
        <v>378</v>
      </c>
      <c r="F216" s="271" t="s">
        <v>392</v>
      </c>
      <c r="G216" s="271" t="s">
        <v>242</v>
      </c>
      <c r="H216" s="271" t="s">
        <v>226</v>
      </c>
      <c r="I216" s="370">
        <v>240097.03</v>
      </c>
      <c r="J216" s="371"/>
      <c r="K216" s="372"/>
    </row>
    <row r="217" spans="1:11" ht="24">
      <c r="A217" s="271" t="s">
        <v>260</v>
      </c>
      <c r="B217" s="368" t="s">
        <v>170</v>
      </c>
      <c r="C217" s="369"/>
      <c r="D217" s="271" t="s">
        <v>377</v>
      </c>
      <c r="E217" s="271" t="s">
        <v>378</v>
      </c>
      <c r="F217" s="271" t="s">
        <v>393</v>
      </c>
      <c r="G217" s="271" t="s">
        <v>394</v>
      </c>
      <c r="H217" s="271" t="s">
        <v>226</v>
      </c>
      <c r="I217" s="370">
        <v>53550</v>
      </c>
      <c r="J217" s="371"/>
      <c r="K217" s="372"/>
    </row>
    <row r="218" spans="1:11" ht="24">
      <c r="A218" s="271" t="s">
        <v>260</v>
      </c>
      <c r="B218" s="368" t="s">
        <v>170</v>
      </c>
      <c r="C218" s="369"/>
      <c r="D218" s="271" t="s">
        <v>377</v>
      </c>
      <c r="E218" s="271" t="s">
        <v>378</v>
      </c>
      <c r="F218" s="271" t="s">
        <v>395</v>
      </c>
      <c r="G218" s="271" t="s">
        <v>396</v>
      </c>
      <c r="H218" s="271" t="s">
        <v>226</v>
      </c>
      <c r="I218" s="370">
        <v>919870</v>
      </c>
      <c r="J218" s="371"/>
      <c r="K218" s="372"/>
    </row>
    <row r="219" spans="1:11" ht="24">
      <c r="A219" s="271" t="s">
        <v>260</v>
      </c>
      <c r="B219" s="368" t="s">
        <v>170</v>
      </c>
      <c r="C219" s="369"/>
      <c r="D219" s="271" t="s">
        <v>377</v>
      </c>
      <c r="E219" s="271" t="s">
        <v>378</v>
      </c>
      <c r="F219" s="271" t="s">
        <v>341</v>
      </c>
      <c r="G219" s="271" t="s">
        <v>342</v>
      </c>
      <c r="H219" s="271" t="s">
        <v>226</v>
      </c>
      <c r="I219" s="370">
        <v>32549.54</v>
      </c>
      <c r="J219" s="371"/>
      <c r="K219" s="372"/>
    </row>
    <row r="220" spans="1:11" ht="24">
      <c r="A220" s="271" t="s">
        <v>260</v>
      </c>
      <c r="B220" s="368" t="s">
        <v>170</v>
      </c>
      <c r="C220" s="369"/>
      <c r="D220" s="271" t="s">
        <v>377</v>
      </c>
      <c r="E220" s="271" t="s">
        <v>378</v>
      </c>
      <c r="F220" s="271" t="s">
        <v>305</v>
      </c>
      <c r="G220" s="271" t="s">
        <v>306</v>
      </c>
      <c r="H220" s="271" t="s">
        <v>226</v>
      </c>
      <c r="I220" s="370">
        <v>3452063.95</v>
      </c>
      <c r="J220" s="371"/>
      <c r="K220" s="372"/>
    </row>
    <row r="221" spans="1:11" ht="24">
      <c r="A221" s="271" t="s">
        <v>260</v>
      </c>
      <c r="B221" s="368" t="s">
        <v>170</v>
      </c>
      <c r="C221" s="369"/>
      <c r="D221" s="271" t="s">
        <v>377</v>
      </c>
      <c r="E221" s="271" t="s">
        <v>378</v>
      </c>
      <c r="F221" s="271" t="s">
        <v>397</v>
      </c>
      <c r="G221" s="271" t="s">
        <v>398</v>
      </c>
      <c r="H221" s="271" t="s">
        <v>226</v>
      </c>
      <c r="I221" s="370">
        <v>219864.4</v>
      </c>
      <c r="J221" s="371"/>
      <c r="K221" s="372"/>
    </row>
    <row r="222" spans="1:11" ht="24">
      <c r="A222" s="271" t="s">
        <v>260</v>
      </c>
      <c r="B222" s="368" t="s">
        <v>170</v>
      </c>
      <c r="C222" s="369"/>
      <c r="D222" s="271" t="s">
        <v>377</v>
      </c>
      <c r="E222" s="271" t="s">
        <v>378</v>
      </c>
      <c r="F222" s="271" t="s">
        <v>399</v>
      </c>
      <c r="G222" s="271" t="s">
        <v>400</v>
      </c>
      <c r="H222" s="271" t="s">
        <v>173</v>
      </c>
      <c r="I222" s="370">
        <v>3859046.88</v>
      </c>
      <c r="J222" s="371"/>
      <c r="K222" s="372"/>
    </row>
    <row r="223" spans="1:11" ht="36">
      <c r="A223" s="271" t="s">
        <v>260</v>
      </c>
      <c r="B223" s="368" t="s">
        <v>170</v>
      </c>
      <c r="C223" s="369"/>
      <c r="D223" s="271" t="s">
        <v>377</v>
      </c>
      <c r="E223" s="271" t="s">
        <v>378</v>
      </c>
      <c r="F223" s="271" t="s">
        <v>401</v>
      </c>
      <c r="G223" s="271" t="s">
        <v>402</v>
      </c>
      <c r="H223" s="271" t="s">
        <v>226</v>
      </c>
      <c r="I223" s="370">
        <v>3099341.31</v>
      </c>
      <c r="J223" s="371"/>
      <c r="K223" s="372"/>
    </row>
    <row r="224" spans="1:11" ht="36">
      <c r="A224" s="271" t="s">
        <v>260</v>
      </c>
      <c r="B224" s="368" t="s">
        <v>170</v>
      </c>
      <c r="C224" s="369"/>
      <c r="D224" s="271" t="s">
        <v>377</v>
      </c>
      <c r="E224" s="271" t="s">
        <v>378</v>
      </c>
      <c r="F224" s="271" t="s">
        <v>307</v>
      </c>
      <c r="G224" s="271" t="s">
        <v>308</v>
      </c>
      <c r="H224" s="271" t="s">
        <v>173</v>
      </c>
      <c r="I224" s="370">
        <v>-8944.35</v>
      </c>
      <c r="J224" s="371"/>
      <c r="K224" s="372"/>
    </row>
    <row r="225" spans="1:11">
      <c r="A225" s="271" t="s">
        <v>260</v>
      </c>
      <c r="B225" s="368" t="s">
        <v>170</v>
      </c>
      <c r="C225" s="369"/>
      <c r="D225" s="271" t="s">
        <v>403</v>
      </c>
      <c r="E225" s="271" t="s">
        <v>404</v>
      </c>
      <c r="F225" s="271" t="s">
        <v>281</v>
      </c>
      <c r="G225" s="271" t="s">
        <v>282</v>
      </c>
      <c r="H225" s="271" t="s">
        <v>173</v>
      </c>
      <c r="I225" s="370">
        <v>3862781.1</v>
      </c>
      <c r="J225" s="371"/>
      <c r="K225" s="372"/>
    </row>
    <row r="226" spans="1:11" ht="24">
      <c r="A226" s="271" t="s">
        <v>260</v>
      </c>
      <c r="B226" s="368" t="s">
        <v>170</v>
      </c>
      <c r="C226" s="369"/>
      <c r="D226" s="271" t="s">
        <v>403</v>
      </c>
      <c r="E226" s="271" t="s">
        <v>404</v>
      </c>
      <c r="F226" s="271" t="s">
        <v>287</v>
      </c>
      <c r="G226" s="271" t="s">
        <v>288</v>
      </c>
      <c r="H226" s="271" t="s">
        <v>173</v>
      </c>
      <c r="I226" s="370">
        <v>3393658.29</v>
      </c>
      <c r="J226" s="371"/>
      <c r="K226" s="372"/>
    </row>
    <row r="227" spans="1:11">
      <c r="A227" s="271" t="s">
        <v>260</v>
      </c>
      <c r="B227" s="368" t="s">
        <v>170</v>
      </c>
      <c r="C227" s="369"/>
      <c r="D227" s="271" t="s">
        <v>405</v>
      </c>
      <c r="E227" s="271" t="s">
        <v>406</v>
      </c>
      <c r="F227" s="271" t="s">
        <v>281</v>
      </c>
      <c r="G227" s="271" t="s">
        <v>282</v>
      </c>
      <c r="H227" s="271" t="s">
        <v>173</v>
      </c>
      <c r="I227" s="370">
        <v>5131018.3499999996</v>
      </c>
      <c r="J227" s="371"/>
      <c r="K227" s="372"/>
    </row>
    <row r="228" spans="1:11" ht="24">
      <c r="A228" s="271" t="s">
        <v>260</v>
      </c>
      <c r="B228" s="368" t="s">
        <v>170</v>
      </c>
      <c r="C228" s="369"/>
      <c r="D228" s="271" t="s">
        <v>407</v>
      </c>
      <c r="E228" s="271" t="s">
        <v>408</v>
      </c>
      <c r="F228" s="271" t="s">
        <v>329</v>
      </c>
      <c r="G228" s="271" t="s">
        <v>330</v>
      </c>
      <c r="H228" s="271" t="s">
        <v>173</v>
      </c>
      <c r="I228" s="370">
        <v>15334.42</v>
      </c>
      <c r="J228" s="371"/>
      <c r="K228" s="372"/>
    </row>
    <row r="229" spans="1:11" ht="24">
      <c r="A229" s="271" t="s">
        <v>260</v>
      </c>
      <c r="B229" s="368" t="s">
        <v>170</v>
      </c>
      <c r="C229" s="369"/>
      <c r="D229" s="271" t="s">
        <v>407</v>
      </c>
      <c r="E229" s="271" t="s">
        <v>408</v>
      </c>
      <c r="F229" s="271" t="s">
        <v>287</v>
      </c>
      <c r="G229" s="271" t="s">
        <v>288</v>
      </c>
      <c r="H229" s="271" t="s">
        <v>173</v>
      </c>
      <c r="I229" s="370">
        <v>811165.59</v>
      </c>
      <c r="J229" s="371"/>
      <c r="K229" s="372"/>
    </row>
    <row r="230" spans="1:11">
      <c r="A230" s="271" t="s">
        <v>260</v>
      </c>
      <c r="B230" s="368" t="s">
        <v>170</v>
      </c>
      <c r="C230" s="369"/>
      <c r="D230" s="271" t="s">
        <v>407</v>
      </c>
      <c r="E230" s="271" t="s">
        <v>408</v>
      </c>
      <c r="F230" s="271" t="s">
        <v>289</v>
      </c>
      <c r="G230" s="271" t="s">
        <v>290</v>
      </c>
      <c r="H230" s="271" t="s">
        <v>173</v>
      </c>
      <c r="I230" s="370">
        <v>58943.08</v>
      </c>
      <c r="J230" s="371"/>
      <c r="K230" s="372"/>
    </row>
    <row r="231" spans="1:11" ht="24">
      <c r="A231" s="271" t="s">
        <v>260</v>
      </c>
      <c r="B231" s="368" t="s">
        <v>170</v>
      </c>
      <c r="C231" s="369"/>
      <c r="D231" s="271" t="s">
        <v>407</v>
      </c>
      <c r="E231" s="271" t="s">
        <v>408</v>
      </c>
      <c r="F231" s="271" t="s">
        <v>409</v>
      </c>
      <c r="G231" s="271" t="s">
        <v>410</v>
      </c>
      <c r="H231" s="271" t="s">
        <v>173</v>
      </c>
      <c r="I231" s="370">
        <v>45895.199999999997</v>
      </c>
      <c r="J231" s="371"/>
      <c r="K231" s="372"/>
    </row>
    <row r="232" spans="1:11">
      <c r="A232" s="271" t="s">
        <v>260</v>
      </c>
      <c r="B232" s="368" t="s">
        <v>170</v>
      </c>
      <c r="C232" s="369"/>
      <c r="D232" s="271" t="s">
        <v>407</v>
      </c>
      <c r="E232" s="271" t="s">
        <v>408</v>
      </c>
      <c r="F232" s="271" t="s">
        <v>301</v>
      </c>
      <c r="G232" s="271" t="s">
        <v>302</v>
      </c>
      <c r="H232" s="271" t="s">
        <v>173</v>
      </c>
      <c r="I232" s="370">
        <v>96925.79</v>
      </c>
      <c r="J232" s="371"/>
      <c r="K232" s="372"/>
    </row>
    <row r="233" spans="1:11">
      <c r="A233" s="271" t="s">
        <v>260</v>
      </c>
      <c r="B233" s="368" t="s">
        <v>170</v>
      </c>
      <c r="C233" s="369"/>
      <c r="D233" s="271" t="s">
        <v>407</v>
      </c>
      <c r="E233" s="271" t="s">
        <v>408</v>
      </c>
      <c r="F233" s="271" t="s">
        <v>393</v>
      </c>
      <c r="G233" s="271" t="s">
        <v>394</v>
      </c>
      <c r="H233" s="271" t="s">
        <v>226</v>
      </c>
      <c r="I233" s="370">
        <v>10664743.07</v>
      </c>
      <c r="J233" s="371"/>
      <c r="K233" s="372"/>
    </row>
    <row r="234" spans="1:11">
      <c r="A234" s="271" t="s">
        <v>260</v>
      </c>
      <c r="B234" s="368" t="s">
        <v>170</v>
      </c>
      <c r="C234" s="369"/>
      <c r="D234" s="271" t="s">
        <v>407</v>
      </c>
      <c r="E234" s="271" t="s">
        <v>408</v>
      </c>
      <c r="F234" s="271" t="s">
        <v>305</v>
      </c>
      <c r="G234" s="271" t="s">
        <v>306</v>
      </c>
      <c r="H234" s="271" t="s">
        <v>226</v>
      </c>
      <c r="I234" s="370">
        <v>575700</v>
      </c>
      <c r="J234" s="371"/>
      <c r="K234" s="372"/>
    </row>
    <row r="235" spans="1:11">
      <c r="A235" s="271" t="s">
        <v>260</v>
      </c>
      <c r="B235" s="368" t="s">
        <v>170</v>
      </c>
      <c r="C235" s="369"/>
      <c r="D235" s="271" t="s">
        <v>411</v>
      </c>
      <c r="E235" s="271" t="s">
        <v>412</v>
      </c>
      <c r="F235" s="271" t="s">
        <v>263</v>
      </c>
      <c r="G235" s="271" t="s">
        <v>264</v>
      </c>
      <c r="H235" s="271" t="s">
        <v>173</v>
      </c>
      <c r="I235" s="370">
        <v>164164</v>
      </c>
      <c r="J235" s="371"/>
      <c r="K235" s="372"/>
    </row>
    <row r="236" spans="1:11">
      <c r="A236" s="271" t="s">
        <v>260</v>
      </c>
      <c r="B236" s="368" t="s">
        <v>170</v>
      </c>
      <c r="C236" s="369"/>
      <c r="D236" s="271" t="s">
        <v>411</v>
      </c>
      <c r="E236" s="271" t="s">
        <v>412</v>
      </c>
      <c r="F236" s="271" t="s">
        <v>301</v>
      </c>
      <c r="G236" s="271" t="s">
        <v>302</v>
      </c>
      <c r="H236" s="271" t="s">
        <v>173</v>
      </c>
      <c r="I236" s="370">
        <v>260.14999999999998</v>
      </c>
      <c r="J236" s="371"/>
      <c r="K236" s="372"/>
    </row>
    <row r="237" spans="1:11">
      <c r="A237" s="271" t="s">
        <v>260</v>
      </c>
      <c r="B237" s="368" t="s">
        <v>170</v>
      </c>
      <c r="C237" s="369"/>
      <c r="D237" s="271" t="s">
        <v>411</v>
      </c>
      <c r="E237" s="271" t="s">
        <v>412</v>
      </c>
      <c r="F237" s="271" t="s">
        <v>381</v>
      </c>
      <c r="G237" s="271" t="s">
        <v>382</v>
      </c>
      <c r="H237" s="271" t="s">
        <v>226</v>
      </c>
      <c r="I237" s="370">
        <v>5641069.1399999997</v>
      </c>
      <c r="J237" s="371"/>
      <c r="K237" s="372"/>
    </row>
    <row r="238" spans="1:11">
      <c r="A238" s="271" t="s">
        <v>260</v>
      </c>
      <c r="B238" s="368" t="s">
        <v>170</v>
      </c>
      <c r="C238" s="369"/>
      <c r="D238" s="271" t="s">
        <v>411</v>
      </c>
      <c r="E238" s="271" t="s">
        <v>412</v>
      </c>
      <c r="F238" s="271" t="s">
        <v>383</v>
      </c>
      <c r="G238" s="271" t="s">
        <v>384</v>
      </c>
      <c r="H238" s="271" t="s">
        <v>226</v>
      </c>
      <c r="I238" s="370">
        <v>31966058.449999999</v>
      </c>
      <c r="J238" s="371"/>
      <c r="K238" s="372"/>
    </row>
    <row r="239" spans="1:11">
      <c r="A239" s="271" t="s">
        <v>260</v>
      </c>
      <c r="B239" s="368" t="s">
        <v>170</v>
      </c>
      <c r="C239" s="369"/>
      <c r="D239" s="271" t="s">
        <v>411</v>
      </c>
      <c r="E239" s="271" t="s">
        <v>412</v>
      </c>
      <c r="F239" s="271" t="s">
        <v>393</v>
      </c>
      <c r="G239" s="271" t="s">
        <v>394</v>
      </c>
      <c r="H239" s="271" t="s">
        <v>226</v>
      </c>
      <c r="I239" s="370">
        <v>1053308.6299999999</v>
      </c>
      <c r="J239" s="371"/>
      <c r="K239" s="372"/>
    </row>
    <row r="240" spans="1:11">
      <c r="A240" s="271" t="s">
        <v>260</v>
      </c>
      <c r="B240" s="368" t="s">
        <v>170</v>
      </c>
      <c r="C240" s="369"/>
      <c r="D240" s="271" t="s">
        <v>411</v>
      </c>
      <c r="E240" s="271" t="s">
        <v>412</v>
      </c>
      <c r="F240" s="271" t="s">
        <v>305</v>
      </c>
      <c r="G240" s="271" t="s">
        <v>306</v>
      </c>
      <c r="H240" s="271" t="s">
        <v>226</v>
      </c>
      <c r="I240" s="370">
        <v>455068.6</v>
      </c>
      <c r="J240" s="371"/>
      <c r="K240" s="372"/>
    </row>
    <row r="241" spans="1:11" ht="24">
      <c r="A241" s="271" t="s">
        <v>260</v>
      </c>
      <c r="B241" s="368" t="s">
        <v>248</v>
      </c>
      <c r="C241" s="369"/>
      <c r="D241" s="271" t="s">
        <v>377</v>
      </c>
      <c r="E241" s="271" t="s">
        <v>378</v>
      </c>
      <c r="F241" s="271" t="s">
        <v>385</v>
      </c>
      <c r="G241" s="271" t="s">
        <v>386</v>
      </c>
      <c r="H241" s="271" t="s">
        <v>226</v>
      </c>
      <c r="I241" s="370">
        <v>900000</v>
      </c>
      <c r="J241" s="371"/>
      <c r="K241" s="372"/>
    </row>
    <row r="242" spans="1:11">
      <c r="A242" s="271" t="s">
        <v>260</v>
      </c>
      <c r="B242" s="368" t="s">
        <v>248</v>
      </c>
      <c r="C242" s="369"/>
      <c r="D242" s="271" t="s">
        <v>411</v>
      </c>
      <c r="E242" s="271" t="s">
        <v>412</v>
      </c>
      <c r="F242" s="271" t="s">
        <v>385</v>
      </c>
      <c r="G242" s="271" t="s">
        <v>386</v>
      </c>
      <c r="H242" s="271" t="s">
        <v>226</v>
      </c>
      <c r="I242" s="370">
        <v>7349015.7999999998</v>
      </c>
      <c r="J242" s="371"/>
      <c r="K242" s="372"/>
    </row>
    <row r="243" spans="1:11">
      <c r="A243" s="271" t="s">
        <v>260</v>
      </c>
      <c r="B243" s="368" t="s">
        <v>253</v>
      </c>
      <c r="C243" s="369"/>
      <c r="D243" s="271" t="s">
        <v>413</v>
      </c>
      <c r="E243" s="271" t="s">
        <v>414</v>
      </c>
      <c r="F243" s="271" t="s">
        <v>345</v>
      </c>
      <c r="G243" s="271" t="s">
        <v>346</v>
      </c>
      <c r="H243" s="271" t="s">
        <v>173</v>
      </c>
      <c r="I243" s="370">
        <v>30959.72</v>
      </c>
      <c r="J243" s="371"/>
      <c r="K243" s="372"/>
    </row>
    <row r="244" spans="1:11">
      <c r="A244" s="271" t="s">
        <v>260</v>
      </c>
      <c r="B244" s="368" t="s">
        <v>256</v>
      </c>
      <c r="C244" s="369"/>
      <c r="D244" s="271" t="s">
        <v>355</v>
      </c>
      <c r="E244" s="271" t="s">
        <v>356</v>
      </c>
      <c r="F244" s="271" t="s">
        <v>263</v>
      </c>
      <c r="G244" s="271" t="s">
        <v>264</v>
      </c>
      <c r="H244" s="271" t="s">
        <v>173</v>
      </c>
      <c r="I244" s="370">
        <v>103308</v>
      </c>
      <c r="J244" s="371"/>
      <c r="K244" s="372"/>
    </row>
    <row r="245" spans="1:11">
      <c r="A245" s="271" t="s">
        <v>260</v>
      </c>
      <c r="B245" s="368" t="s">
        <v>256</v>
      </c>
      <c r="C245" s="369"/>
      <c r="D245" s="271" t="s">
        <v>355</v>
      </c>
      <c r="E245" s="271" t="s">
        <v>356</v>
      </c>
      <c r="F245" s="271" t="s">
        <v>269</v>
      </c>
      <c r="G245" s="271" t="s">
        <v>270</v>
      </c>
      <c r="H245" s="271" t="s">
        <v>173</v>
      </c>
      <c r="I245" s="370">
        <v>5894</v>
      </c>
      <c r="J245" s="371"/>
      <c r="K245" s="372"/>
    </row>
    <row r="246" spans="1:11">
      <c r="A246" s="271" t="s">
        <v>260</v>
      </c>
      <c r="B246" s="368" t="s">
        <v>256</v>
      </c>
      <c r="C246" s="369"/>
      <c r="D246" s="271" t="s">
        <v>355</v>
      </c>
      <c r="E246" s="271" t="s">
        <v>356</v>
      </c>
      <c r="F246" s="271" t="s">
        <v>273</v>
      </c>
      <c r="G246" s="271" t="s">
        <v>274</v>
      </c>
      <c r="H246" s="271" t="s">
        <v>173</v>
      </c>
      <c r="I246" s="370">
        <v>2453</v>
      </c>
      <c r="J246" s="371"/>
      <c r="K246" s="372"/>
    </row>
    <row r="247" spans="1:11" ht="24">
      <c r="A247" s="271" t="s">
        <v>260</v>
      </c>
      <c r="B247" s="368" t="s">
        <v>256</v>
      </c>
      <c r="C247" s="369"/>
      <c r="D247" s="271" t="s">
        <v>355</v>
      </c>
      <c r="E247" s="271" t="s">
        <v>356</v>
      </c>
      <c r="F247" s="271" t="s">
        <v>287</v>
      </c>
      <c r="G247" s="271" t="s">
        <v>288</v>
      </c>
      <c r="H247" s="271" t="s">
        <v>173</v>
      </c>
      <c r="I247" s="370">
        <v>8442</v>
      </c>
      <c r="J247" s="371"/>
      <c r="K247" s="372"/>
    </row>
    <row r="248" spans="1:11">
      <c r="A248" s="271" t="s">
        <v>260</v>
      </c>
      <c r="B248" s="368" t="s">
        <v>256</v>
      </c>
      <c r="C248" s="369"/>
      <c r="D248" s="271" t="s">
        <v>359</v>
      </c>
      <c r="E248" s="271" t="s">
        <v>360</v>
      </c>
      <c r="F248" s="271" t="s">
        <v>263</v>
      </c>
      <c r="G248" s="271" t="s">
        <v>264</v>
      </c>
      <c r="H248" s="271" t="s">
        <v>173</v>
      </c>
      <c r="I248" s="370">
        <v>132859</v>
      </c>
      <c r="J248" s="371"/>
      <c r="K248" s="372"/>
    </row>
    <row r="249" spans="1:11">
      <c r="A249" s="271" t="s">
        <v>260</v>
      </c>
      <c r="B249" s="368" t="s">
        <v>256</v>
      </c>
      <c r="C249" s="369"/>
      <c r="D249" s="271" t="s">
        <v>359</v>
      </c>
      <c r="E249" s="271" t="s">
        <v>360</v>
      </c>
      <c r="F249" s="271" t="s">
        <v>269</v>
      </c>
      <c r="G249" s="271" t="s">
        <v>270</v>
      </c>
      <c r="H249" s="271" t="s">
        <v>173</v>
      </c>
      <c r="I249" s="370">
        <v>8748</v>
      </c>
      <c r="J249" s="371"/>
      <c r="K249" s="372"/>
    </row>
    <row r="250" spans="1:11">
      <c r="A250" s="271" t="s">
        <v>260</v>
      </c>
      <c r="B250" s="368" t="s">
        <v>256</v>
      </c>
      <c r="C250" s="369"/>
      <c r="D250" s="271" t="s">
        <v>359</v>
      </c>
      <c r="E250" s="271" t="s">
        <v>360</v>
      </c>
      <c r="F250" s="271" t="s">
        <v>273</v>
      </c>
      <c r="G250" s="271" t="s">
        <v>274</v>
      </c>
      <c r="H250" s="271" t="s">
        <v>173</v>
      </c>
      <c r="I250" s="370">
        <v>3166</v>
      </c>
      <c r="J250" s="371"/>
      <c r="K250" s="372"/>
    </row>
    <row r="251" spans="1:11">
      <c r="A251" s="271" t="s">
        <v>260</v>
      </c>
      <c r="B251" s="368" t="s">
        <v>256</v>
      </c>
      <c r="C251" s="369"/>
      <c r="D251" s="271" t="s">
        <v>359</v>
      </c>
      <c r="E251" s="271" t="s">
        <v>360</v>
      </c>
      <c r="F251" s="271" t="s">
        <v>279</v>
      </c>
      <c r="G251" s="271" t="s">
        <v>280</v>
      </c>
      <c r="H251" s="271" t="s">
        <v>173</v>
      </c>
      <c r="I251" s="370">
        <v>8733.6200000000008</v>
      </c>
      <c r="J251" s="371"/>
      <c r="K251" s="372"/>
    </row>
    <row r="252" spans="1:11">
      <c r="A252" s="271" t="s">
        <v>260</v>
      </c>
      <c r="B252" s="368" t="s">
        <v>256</v>
      </c>
      <c r="C252" s="369"/>
      <c r="D252" s="271" t="s">
        <v>359</v>
      </c>
      <c r="E252" s="271" t="s">
        <v>360</v>
      </c>
      <c r="F252" s="271" t="s">
        <v>281</v>
      </c>
      <c r="G252" s="271" t="s">
        <v>282</v>
      </c>
      <c r="H252" s="271" t="s">
        <v>173</v>
      </c>
      <c r="I252" s="370">
        <v>2379.19</v>
      </c>
      <c r="J252" s="371"/>
      <c r="K252" s="372"/>
    </row>
    <row r="253" spans="1:11" ht="24">
      <c r="A253" s="271" t="s">
        <v>260</v>
      </c>
      <c r="B253" s="368" t="s">
        <v>256</v>
      </c>
      <c r="C253" s="369"/>
      <c r="D253" s="271" t="s">
        <v>359</v>
      </c>
      <c r="E253" s="271" t="s">
        <v>360</v>
      </c>
      <c r="F253" s="271" t="s">
        <v>285</v>
      </c>
      <c r="G253" s="271" t="s">
        <v>286</v>
      </c>
      <c r="H253" s="271" t="s">
        <v>173</v>
      </c>
      <c r="I253" s="370">
        <v>3713.6</v>
      </c>
      <c r="J253" s="371"/>
      <c r="K253" s="372"/>
    </row>
    <row r="254" spans="1:11" ht="24">
      <c r="A254" s="271" t="s">
        <v>260</v>
      </c>
      <c r="B254" s="368" t="s">
        <v>256</v>
      </c>
      <c r="C254" s="369"/>
      <c r="D254" s="271" t="s">
        <v>359</v>
      </c>
      <c r="E254" s="271" t="s">
        <v>360</v>
      </c>
      <c r="F254" s="271" t="s">
        <v>287</v>
      </c>
      <c r="G254" s="271" t="s">
        <v>288</v>
      </c>
      <c r="H254" s="271" t="s">
        <v>173</v>
      </c>
      <c r="I254" s="370">
        <v>50376.39</v>
      </c>
      <c r="J254" s="371"/>
      <c r="K254" s="372"/>
    </row>
    <row r="255" spans="1:11">
      <c r="A255" s="271" t="s">
        <v>260</v>
      </c>
      <c r="B255" s="368" t="s">
        <v>256</v>
      </c>
      <c r="C255" s="369"/>
      <c r="D255" s="271" t="s">
        <v>359</v>
      </c>
      <c r="E255" s="271" t="s">
        <v>360</v>
      </c>
      <c r="F255" s="271" t="s">
        <v>345</v>
      </c>
      <c r="G255" s="271" t="s">
        <v>346</v>
      </c>
      <c r="H255" s="271" t="s">
        <v>173</v>
      </c>
      <c r="I255" s="370">
        <v>19400</v>
      </c>
      <c r="J255" s="371"/>
      <c r="K255" s="372"/>
    </row>
    <row r="256" spans="1:11" ht="24">
      <c r="A256" s="271" t="s">
        <v>415</v>
      </c>
      <c r="B256" s="386"/>
      <c r="C256" s="387"/>
      <c r="D256" s="272"/>
      <c r="E256" s="272"/>
      <c r="F256" s="272"/>
      <c r="G256" s="272"/>
      <c r="H256" s="272"/>
      <c r="I256" s="370">
        <v>151932674.25999999</v>
      </c>
      <c r="J256" s="371"/>
      <c r="K256" s="372"/>
    </row>
    <row r="257" spans="1:10">
      <c r="A257" s="388" t="s">
        <v>152</v>
      </c>
      <c r="B257" s="388"/>
      <c r="C257" s="388"/>
      <c r="D257" s="388"/>
      <c r="E257" s="388"/>
      <c r="F257" s="388"/>
      <c r="G257" s="388"/>
      <c r="H257" s="388"/>
      <c r="I257" s="388"/>
      <c r="J257" s="388"/>
    </row>
    <row r="258" spans="1:10">
      <c r="A258" s="389" t="s">
        <v>416</v>
      </c>
      <c r="B258" s="389"/>
      <c r="C258" s="389"/>
      <c r="D258" s="389"/>
      <c r="E258" s="389"/>
      <c r="F258" s="389"/>
      <c r="G258" s="389"/>
      <c r="H258" s="389"/>
      <c r="I258" s="389"/>
      <c r="J258" s="389"/>
    </row>
  </sheetData>
  <mergeCells count="501">
    <mergeCell ref="A257:J257"/>
    <mergeCell ref="A258:J258"/>
    <mergeCell ref="B254:C254"/>
    <mergeCell ref="I254:K254"/>
    <mergeCell ref="B255:C255"/>
    <mergeCell ref="I255:K255"/>
    <mergeCell ref="B256:C256"/>
    <mergeCell ref="I256:K256"/>
    <mergeCell ref="B251:C251"/>
    <mergeCell ref="I251:K251"/>
    <mergeCell ref="B252:C252"/>
    <mergeCell ref="I252:K252"/>
    <mergeCell ref="B253:C253"/>
    <mergeCell ref="I253:K253"/>
    <mergeCell ref="B248:C248"/>
    <mergeCell ref="I248:K248"/>
    <mergeCell ref="B249:C249"/>
    <mergeCell ref="I249:K249"/>
    <mergeCell ref="B250:C250"/>
    <mergeCell ref="I250:K250"/>
    <mergeCell ref="B245:C245"/>
    <mergeCell ref="I245:K245"/>
    <mergeCell ref="B246:C246"/>
    <mergeCell ref="I246:K246"/>
    <mergeCell ref="B247:C247"/>
    <mergeCell ref="I247:K247"/>
    <mergeCell ref="B242:C242"/>
    <mergeCell ref="I242:K242"/>
    <mergeCell ref="B243:C243"/>
    <mergeCell ref="I243:K243"/>
    <mergeCell ref="B244:C244"/>
    <mergeCell ref="I244:K244"/>
    <mergeCell ref="B239:C239"/>
    <mergeCell ref="I239:K239"/>
    <mergeCell ref="B240:C240"/>
    <mergeCell ref="I240:K240"/>
    <mergeCell ref="B241:C241"/>
    <mergeCell ref="I241:K241"/>
    <mergeCell ref="B236:C236"/>
    <mergeCell ref="I236:K236"/>
    <mergeCell ref="B237:C237"/>
    <mergeCell ref="I237:K237"/>
    <mergeCell ref="B238:C238"/>
    <mergeCell ref="I238:K238"/>
    <mergeCell ref="B233:C233"/>
    <mergeCell ref="I233:K233"/>
    <mergeCell ref="B234:C234"/>
    <mergeCell ref="I234:K234"/>
    <mergeCell ref="B235:C235"/>
    <mergeCell ref="I235:K235"/>
    <mergeCell ref="B230:C230"/>
    <mergeCell ref="I230:K230"/>
    <mergeCell ref="B231:C231"/>
    <mergeCell ref="I231:K231"/>
    <mergeCell ref="B232:C232"/>
    <mergeCell ref="I232:K232"/>
    <mergeCell ref="B227:C227"/>
    <mergeCell ref="I227:K227"/>
    <mergeCell ref="B228:C228"/>
    <mergeCell ref="I228:K228"/>
    <mergeCell ref="B229:C229"/>
    <mergeCell ref="I229:K229"/>
    <mergeCell ref="B224:C224"/>
    <mergeCell ref="I224:K224"/>
    <mergeCell ref="B225:C225"/>
    <mergeCell ref="I225:K225"/>
    <mergeCell ref="B226:C226"/>
    <mergeCell ref="I226:K226"/>
    <mergeCell ref="B221:C221"/>
    <mergeCell ref="I221:K221"/>
    <mergeCell ref="B222:C222"/>
    <mergeCell ref="I222:K222"/>
    <mergeCell ref="B223:C223"/>
    <mergeCell ref="I223:K223"/>
    <mergeCell ref="B218:C218"/>
    <mergeCell ref="I218:K218"/>
    <mergeCell ref="B219:C219"/>
    <mergeCell ref="I219:K219"/>
    <mergeCell ref="B220:C220"/>
    <mergeCell ref="I220:K220"/>
    <mergeCell ref="B215:C215"/>
    <mergeCell ref="I215:K215"/>
    <mergeCell ref="B216:C216"/>
    <mergeCell ref="I216:K216"/>
    <mergeCell ref="B217:C217"/>
    <mergeCell ref="I217:K217"/>
    <mergeCell ref="B212:C212"/>
    <mergeCell ref="I212:K212"/>
    <mergeCell ref="B213:C213"/>
    <mergeCell ref="I213:K213"/>
    <mergeCell ref="B214:C214"/>
    <mergeCell ref="I214:K214"/>
    <mergeCell ref="B209:C209"/>
    <mergeCell ref="I209:K209"/>
    <mergeCell ref="B210:C210"/>
    <mergeCell ref="I210:K210"/>
    <mergeCell ref="B211:C211"/>
    <mergeCell ref="I211:K211"/>
    <mergeCell ref="B206:C206"/>
    <mergeCell ref="I206:K206"/>
    <mergeCell ref="B207:C207"/>
    <mergeCell ref="I207:K207"/>
    <mergeCell ref="B208:C208"/>
    <mergeCell ref="I208:K208"/>
    <mergeCell ref="B203:C203"/>
    <mergeCell ref="I203:K203"/>
    <mergeCell ref="B204:C204"/>
    <mergeCell ref="I204:K204"/>
    <mergeCell ref="B205:C205"/>
    <mergeCell ref="I205:K205"/>
    <mergeCell ref="B200:C200"/>
    <mergeCell ref="I200:K200"/>
    <mergeCell ref="B201:C201"/>
    <mergeCell ref="I201:K201"/>
    <mergeCell ref="B202:C202"/>
    <mergeCell ref="I202:K202"/>
    <mergeCell ref="B197:C197"/>
    <mergeCell ref="I197:K197"/>
    <mergeCell ref="B198:C198"/>
    <mergeCell ref="I198:K198"/>
    <mergeCell ref="B199:C199"/>
    <mergeCell ref="I199:K199"/>
    <mergeCell ref="B194:C194"/>
    <mergeCell ref="I194:K194"/>
    <mergeCell ref="B195:C195"/>
    <mergeCell ref="I195:K195"/>
    <mergeCell ref="B196:C196"/>
    <mergeCell ref="I196:K196"/>
    <mergeCell ref="B191:C191"/>
    <mergeCell ref="I191:K191"/>
    <mergeCell ref="B192:C192"/>
    <mergeCell ref="I192:K192"/>
    <mergeCell ref="B193:C193"/>
    <mergeCell ref="I193:K193"/>
    <mergeCell ref="B188:C188"/>
    <mergeCell ref="I188:K188"/>
    <mergeCell ref="B189:C189"/>
    <mergeCell ref="I189:K189"/>
    <mergeCell ref="B190:C190"/>
    <mergeCell ref="I190:K190"/>
    <mergeCell ref="B185:C185"/>
    <mergeCell ref="I185:K185"/>
    <mergeCell ref="B186:C186"/>
    <mergeCell ref="I186:K186"/>
    <mergeCell ref="B187:C187"/>
    <mergeCell ref="I187:K187"/>
    <mergeCell ref="B182:C182"/>
    <mergeCell ref="I182:K182"/>
    <mergeCell ref="B183:C183"/>
    <mergeCell ref="I183:K183"/>
    <mergeCell ref="B184:C184"/>
    <mergeCell ref="I184:K184"/>
    <mergeCell ref="B179:C179"/>
    <mergeCell ref="I179:K179"/>
    <mergeCell ref="B180:C180"/>
    <mergeCell ref="I180:K180"/>
    <mergeCell ref="B181:C181"/>
    <mergeCell ref="I181:K181"/>
    <mergeCell ref="B176:C176"/>
    <mergeCell ref="I176:K176"/>
    <mergeCell ref="B177:C177"/>
    <mergeCell ref="I177:K177"/>
    <mergeCell ref="B178:C178"/>
    <mergeCell ref="I178:K178"/>
    <mergeCell ref="B173:C173"/>
    <mergeCell ref="I173:K173"/>
    <mergeCell ref="B174:C174"/>
    <mergeCell ref="I174:K174"/>
    <mergeCell ref="B175:C175"/>
    <mergeCell ref="I175:K175"/>
    <mergeCell ref="B170:C170"/>
    <mergeCell ref="I170:K170"/>
    <mergeCell ref="B171:C171"/>
    <mergeCell ref="I171:K171"/>
    <mergeCell ref="B172:C172"/>
    <mergeCell ref="I172:K172"/>
    <mergeCell ref="B167:C167"/>
    <mergeCell ref="I167:K167"/>
    <mergeCell ref="B168:C168"/>
    <mergeCell ref="I168:K168"/>
    <mergeCell ref="B169:C169"/>
    <mergeCell ref="I169:K169"/>
    <mergeCell ref="B164:C164"/>
    <mergeCell ref="I164:K164"/>
    <mergeCell ref="B165:C165"/>
    <mergeCell ref="I165:K165"/>
    <mergeCell ref="B166:C166"/>
    <mergeCell ref="I166:K166"/>
    <mergeCell ref="B161:C161"/>
    <mergeCell ref="I161:K161"/>
    <mergeCell ref="B162:C162"/>
    <mergeCell ref="I162:K162"/>
    <mergeCell ref="B163:C163"/>
    <mergeCell ref="I163:K163"/>
    <mergeCell ref="B158:C158"/>
    <mergeCell ref="I158:K158"/>
    <mergeCell ref="B159:C159"/>
    <mergeCell ref="I159:K159"/>
    <mergeCell ref="B160:C160"/>
    <mergeCell ref="I160:K160"/>
    <mergeCell ref="B155:C155"/>
    <mergeCell ref="I155:K155"/>
    <mergeCell ref="B156:C156"/>
    <mergeCell ref="I156:K156"/>
    <mergeCell ref="B157:C157"/>
    <mergeCell ref="I157:K157"/>
    <mergeCell ref="B152:C152"/>
    <mergeCell ref="I152:K152"/>
    <mergeCell ref="B153:C153"/>
    <mergeCell ref="I153:K153"/>
    <mergeCell ref="B154:C154"/>
    <mergeCell ref="I154:K154"/>
    <mergeCell ref="B149:C149"/>
    <mergeCell ref="I149:K149"/>
    <mergeCell ref="B150:C150"/>
    <mergeCell ref="I150:K150"/>
    <mergeCell ref="B151:C151"/>
    <mergeCell ref="I151:K151"/>
    <mergeCell ref="B146:C146"/>
    <mergeCell ref="I146:K146"/>
    <mergeCell ref="B147:C147"/>
    <mergeCell ref="I147:K147"/>
    <mergeCell ref="B148:C148"/>
    <mergeCell ref="I148:K148"/>
    <mergeCell ref="B143:C143"/>
    <mergeCell ref="I143:K143"/>
    <mergeCell ref="B144:C144"/>
    <mergeCell ref="I144:K144"/>
    <mergeCell ref="B145:C145"/>
    <mergeCell ref="I145:K145"/>
    <mergeCell ref="B140:C140"/>
    <mergeCell ref="I140:K140"/>
    <mergeCell ref="B141:C141"/>
    <mergeCell ref="I141:K141"/>
    <mergeCell ref="B142:C142"/>
    <mergeCell ref="I142:K142"/>
    <mergeCell ref="B137:C137"/>
    <mergeCell ref="I137:K137"/>
    <mergeCell ref="B138:C138"/>
    <mergeCell ref="I138:K138"/>
    <mergeCell ref="B139:C139"/>
    <mergeCell ref="I139:K139"/>
    <mergeCell ref="B134:C134"/>
    <mergeCell ref="I134:K134"/>
    <mergeCell ref="B135:C135"/>
    <mergeCell ref="I135:K135"/>
    <mergeCell ref="B136:C136"/>
    <mergeCell ref="I136:K136"/>
    <mergeCell ref="B131:C131"/>
    <mergeCell ref="I131:K131"/>
    <mergeCell ref="B132:C132"/>
    <mergeCell ref="I132:K132"/>
    <mergeCell ref="B133:C133"/>
    <mergeCell ref="I133:K133"/>
    <mergeCell ref="B128:C128"/>
    <mergeCell ref="I128:K128"/>
    <mergeCell ref="B129:C129"/>
    <mergeCell ref="I129:K129"/>
    <mergeCell ref="B130:C130"/>
    <mergeCell ref="I130:K130"/>
    <mergeCell ref="B125:C125"/>
    <mergeCell ref="I125:K125"/>
    <mergeCell ref="B126:C126"/>
    <mergeCell ref="I126:K126"/>
    <mergeCell ref="B127:C127"/>
    <mergeCell ref="I127:K127"/>
    <mergeCell ref="B122:C122"/>
    <mergeCell ref="I122:K122"/>
    <mergeCell ref="B123:C123"/>
    <mergeCell ref="I123:K123"/>
    <mergeCell ref="B124:C124"/>
    <mergeCell ref="I124:K124"/>
    <mergeCell ref="B119:C119"/>
    <mergeCell ref="I119:K119"/>
    <mergeCell ref="B120:C120"/>
    <mergeCell ref="I120:K120"/>
    <mergeCell ref="B121:C121"/>
    <mergeCell ref="I121:K121"/>
    <mergeCell ref="B116:C116"/>
    <mergeCell ref="I116:K116"/>
    <mergeCell ref="B117:C117"/>
    <mergeCell ref="I117:K117"/>
    <mergeCell ref="B118:C118"/>
    <mergeCell ref="I118:K118"/>
    <mergeCell ref="B113:C113"/>
    <mergeCell ref="I113:K113"/>
    <mergeCell ref="B114:C114"/>
    <mergeCell ref="I114:K114"/>
    <mergeCell ref="B115:C115"/>
    <mergeCell ref="I115:K115"/>
    <mergeCell ref="B110:C110"/>
    <mergeCell ref="I110:K110"/>
    <mergeCell ref="B111:C111"/>
    <mergeCell ref="I111:K111"/>
    <mergeCell ref="B112:C112"/>
    <mergeCell ref="I112:K112"/>
    <mergeCell ref="B107:C107"/>
    <mergeCell ref="I107:K107"/>
    <mergeCell ref="B108:C108"/>
    <mergeCell ref="I108:K108"/>
    <mergeCell ref="B109:C109"/>
    <mergeCell ref="I109:K109"/>
    <mergeCell ref="B104:C104"/>
    <mergeCell ref="I104:K104"/>
    <mergeCell ref="B105:C105"/>
    <mergeCell ref="I105:K105"/>
    <mergeCell ref="B106:C106"/>
    <mergeCell ref="I106:K106"/>
    <mergeCell ref="B101:C101"/>
    <mergeCell ref="I101:K101"/>
    <mergeCell ref="B102:C102"/>
    <mergeCell ref="I102:K102"/>
    <mergeCell ref="B103:C103"/>
    <mergeCell ref="I103:K103"/>
    <mergeCell ref="B98:C98"/>
    <mergeCell ref="I98:K98"/>
    <mergeCell ref="B99:C99"/>
    <mergeCell ref="I99:K99"/>
    <mergeCell ref="B100:C100"/>
    <mergeCell ref="I100:K100"/>
    <mergeCell ref="B95:C95"/>
    <mergeCell ref="I95:K95"/>
    <mergeCell ref="B96:C96"/>
    <mergeCell ref="I96:K96"/>
    <mergeCell ref="B97:C97"/>
    <mergeCell ref="I97:K97"/>
    <mergeCell ref="B92:C92"/>
    <mergeCell ref="I92:K92"/>
    <mergeCell ref="B93:C93"/>
    <mergeCell ref="I93:K93"/>
    <mergeCell ref="B94:C94"/>
    <mergeCell ref="I94:K94"/>
    <mergeCell ref="B89:C89"/>
    <mergeCell ref="I89:K89"/>
    <mergeCell ref="B90:C90"/>
    <mergeCell ref="I90:K90"/>
    <mergeCell ref="B91:C91"/>
    <mergeCell ref="I91:K91"/>
    <mergeCell ref="B86:C86"/>
    <mergeCell ref="I86:K86"/>
    <mergeCell ref="B87:C87"/>
    <mergeCell ref="I87:K87"/>
    <mergeCell ref="B88:C88"/>
    <mergeCell ref="I88:K88"/>
    <mergeCell ref="B83:C83"/>
    <mergeCell ref="I83:K83"/>
    <mergeCell ref="B84:C84"/>
    <mergeCell ref="I84:K84"/>
    <mergeCell ref="B85:C85"/>
    <mergeCell ref="I85:K85"/>
    <mergeCell ref="B80:C80"/>
    <mergeCell ref="I80:K80"/>
    <mergeCell ref="B81:C81"/>
    <mergeCell ref="I81:K81"/>
    <mergeCell ref="B82:C82"/>
    <mergeCell ref="I82:K82"/>
    <mergeCell ref="B77:C77"/>
    <mergeCell ref="I77:K77"/>
    <mergeCell ref="B78:C78"/>
    <mergeCell ref="I78:K78"/>
    <mergeCell ref="B79:C79"/>
    <mergeCell ref="I79:K79"/>
    <mergeCell ref="B74:C74"/>
    <mergeCell ref="I74:K74"/>
    <mergeCell ref="B75:C75"/>
    <mergeCell ref="I75:K75"/>
    <mergeCell ref="B76:C76"/>
    <mergeCell ref="I76:K76"/>
    <mergeCell ref="B71:C71"/>
    <mergeCell ref="I71:K71"/>
    <mergeCell ref="B72:C72"/>
    <mergeCell ref="I72:K72"/>
    <mergeCell ref="B73:C73"/>
    <mergeCell ref="I73:K73"/>
    <mergeCell ref="B68:C68"/>
    <mergeCell ref="I68:K68"/>
    <mergeCell ref="B69:C69"/>
    <mergeCell ref="I69:K69"/>
    <mergeCell ref="B70:C70"/>
    <mergeCell ref="I70:K70"/>
    <mergeCell ref="B65:C65"/>
    <mergeCell ref="I65:K65"/>
    <mergeCell ref="B66:C66"/>
    <mergeCell ref="I66:K66"/>
    <mergeCell ref="B67:C67"/>
    <mergeCell ref="I67:K67"/>
    <mergeCell ref="B62:C62"/>
    <mergeCell ref="I62:K62"/>
    <mergeCell ref="B63:C63"/>
    <mergeCell ref="I63:K63"/>
    <mergeCell ref="B64:C64"/>
    <mergeCell ref="I64:K64"/>
    <mergeCell ref="B59:C59"/>
    <mergeCell ref="I59:K59"/>
    <mergeCell ref="B60:C60"/>
    <mergeCell ref="I60:K60"/>
    <mergeCell ref="B61:C61"/>
    <mergeCell ref="I61:K61"/>
    <mergeCell ref="B56:C56"/>
    <mergeCell ref="I56:K56"/>
    <mergeCell ref="B57:C57"/>
    <mergeCell ref="I57:K57"/>
    <mergeCell ref="B58:C58"/>
    <mergeCell ref="I58:K58"/>
    <mergeCell ref="B53:C53"/>
    <mergeCell ref="I53:K53"/>
    <mergeCell ref="B54:C54"/>
    <mergeCell ref="I54:K54"/>
    <mergeCell ref="B55:C55"/>
    <mergeCell ref="I55:K55"/>
    <mergeCell ref="B50:C50"/>
    <mergeCell ref="I50:K50"/>
    <mergeCell ref="B51:C51"/>
    <mergeCell ref="I51:K51"/>
    <mergeCell ref="B52:C52"/>
    <mergeCell ref="I52:K52"/>
    <mergeCell ref="B47:C47"/>
    <mergeCell ref="I47:K47"/>
    <mergeCell ref="B48:C48"/>
    <mergeCell ref="I48:K48"/>
    <mergeCell ref="B49:C49"/>
    <mergeCell ref="I49:K49"/>
    <mergeCell ref="B44:C44"/>
    <mergeCell ref="I44:K44"/>
    <mergeCell ref="B45:C45"/>
    <mergeCell ref="I45:K45"/>
    <mergeCell ref="B46:C46"/>
    <mergeCell ref="I46:K46"/>
    <mergeCell ref="B41:C41"/>
    <mergeCell ref="I41:K41"/>
    <mergeCell ref="B42:C42"/>
    <mergeCell ref="I42:K42"/>
    <mergeCell ref="B43:C43"/>
    <mergeCell ref="I43:K43"/>
    <mergeCell ref="B38:C38"/>
    <mergeCell ref="I38:K38"/>
    <mergeCell ref="B39:C39"/>
    <mergeCell ref="I39:K39"/>
    <mergeCell ref="B40:C40"/>
    <mergeCell ref="I40:K40"/>
    <mergeCell ref="B35:C35"/>
    <mergeCell ref="I35:K35"/>
    <mergeCell ref="B36:C36"/>
    <mergeCell ref="I36:K36"/>
    <mergeCell ref="B37:C37"/>
    <mergeCell ref="I37:K37"/>
    <mergeCell ref="B32:C32"/>
    <mergeCell ref="I32:K32"/>
    <mergeCell ref="B33:C33"/>
    <mergeCell ref="I33:K33"/>
    <mergeCell ref="B34:C34"/>
    <mergeCell ref="I34:K34"/>
    <mergeCell ref="B29:C29"/>
    <mergeCell ref="I29:K29"/>
    <mergeCell ref="B30:C30"/>
    <mergeCell ref="I30:K30"/>
    <mergeCell ref="B31:C31"/>
    <mergeCell ref="I31:K31"/>
    <mergeCell ref="B26:C26"/>
    <mergeCell ref="I26:K26"/>
    <mergeCell ref="B27:C27"/>
    <mergeCell ref="I27:K27"/>
    <mergeCell ref="B28:C28"/>
    <mergeCell ref="I28:K28"/>
    <mergeCell ref="B23:C23"/>
    <mergeCell ref="I23:K23"/>
    <mergeCell ref="B24:C24"/>
    <mergeCell ref="I24:K24"/>
    <mergeCell ref="B25:C25"/>
    <mergeCell ref="I25:K25"/>
    <mergeCell ref="B20:C20"/>
    <mergeCell ref="I20:K20"/>
    <mergeCell ref="B21:C21"/>
    <mergeCell ref="I21:K21"/>
    <mergeCell ref="B22:C22"/>
    <mergeCell ref="I22:K22"/>
    <mergeCell ref="B17:C17"/>
    <mergeCell ref="I17:K17"/>
    <mergeCell ref="B18:C18"/>
    <mergeCell ref="I18:K18"/>
    <mergeCell ref="B19:C19"/>
    <mergeCell ref="I19:K19"/>
    <mergeCell ref="B16:C16"/>
    <mergeCell ref="I16:K16"/>
    <mergeCell ref="A9:J9"/>
    <mergeCell ref="A10:J10"/>
    <mergeCell ref="A11:J11"/>
    <mergeCell ref="B12:C12"/>
    <mergeCell ref="I12:K12"/>
    <mergeCell ref="B13:C13"/>
    <mergeCell ref="I13:K13"/>
    <mergeCell ref="A1:B1"/>
    <mergeCell ref="C1:I4"/>
    <mergeCell ref="A5:J5"/>
    <mergeCell ref="A6:J6"/>
    <mergeCell ref="A7:J7"/>
    <mergeCell ref="A8:J8"/>
    <mergeCell ref="B14:C14"/>
    <mergeCell ref="I14:K14"/>
    <mergeCell ref="B15:C15"/>
    <mergeCell ref="I15:K1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D7D7-C4FB-4D19-AA7B-6E1591EE5456}">
  <dimension ref="A1:O242"/>
  <sheetViews>
    <sheetView showGridLines="0" topLeftCell="A49" workbookViewId="0">
      <selection activeCell="L22" sqref="L22"/>
    </sheetView>
  </sheetViews>
  <sheetFormatPr defaultRowHeight="14.4"/>
  <cols>
    <col min="1" max="1" width="13" style="284" customWidth="1"/>
    <col min="2" max="2" width="17.5546875" style="284" customWidth="1"/>
    <col min="3" max="3" width="4.5546875" style="284" customWidth="1"/>
    <col min="4" max="4" width="12.21875" style="284" customWidth="1"/>
    <col min="5" max="5" width="35.77734375" style="284" customWidth="1"/>
    <col min="6" max="6" width="11.44140625" style="284" customWidth="1"/>
    <col min="7" max="7" width="26.6640625" style="284" customWidth="1"/>
    <col min="8" max="8" width="17.5546875" style="284" customWidth="1"/>
    <col min="9" max="9" width="10.6640625" style="284" customWidth="1"/>
    <col min="10" max="10" width="4.5546875" style="284" customWidth="1"/>
    <col min="11" max="11" width="0.77734375" style="284" customWidth="1"/>
    <col min="12" max="12" width="13.5546875" style="284" bestFit="1" customWidth="1"/>
    <col min="13" max="15" width="12.44140625" style="284" bestFit="1" customWidth="1"/>
    <col min="16" max="16384" width="8.88671875" style="284"/>
  </cols>
  <sheetData>
    <row r="1" spans="1:11">
      <c r="A1" s="399" t="s">
        <v>152</v>
      </c>
      <c r="B1" s="399"/>
      <c r="C1" s="400" t="s">
        <v>153</v>
      </c>
      <c r="D1" s="400"/>
      <c r="E1" s="400"/>
      <c r="F1" s="400"/>
      <c r="G1" s="400"/>
      <c r="H1" s="400"/>
      <c r="I1" s="400"/>
    </row>
    <row r="2" spans="1:11">
      <c r="C2" s="400"/>
      <c r="D2" s="400"/>
      <c r="E2" s="400"/>
      <c r="F2" s="400"/>
      <c r="G2" s="400"/>
      <c r="H2" s="400"/>
      <c r="I2" s="400"/>
    </row>
    <row r="3" spans="1:11">
      <c r="C3" s="400"/>
      <c r="D3" s="400"/>
      <c r="E3" s="400"/>
      <c r="F3" s="400"/>
      <c r="G3" s="400"/>
      <c r="H3" s="400"/>
      <c r="I3" s="400"/>
    </row>
    <row r="4" spans="1:11">
      <c r="C4" s="400"/>
      <c r="D4" s="400"/>
      <c r="E4" s="400"/>
      <c r="F4" s="400"/>
      <c r="G4" s="400"/>
      <c r="H4" s="400"/>
      <c r="I4" s="400"/>
    </row>
    <row r="5" spans="1:11" ht="17.399999999999999">
      <c r="A5" s="401" t="s">
        <v>154</v>
      </c>
      <c r="B5" s="401"/>
      <c r="C5" s="401"/>
      <c r="D5" s="401"/>
      <c r="E5" s="401"/>
      <c r="F5" s="401"/>
      <c r="G5" s="401"/>
      <c r="H5" s="401"/>
      <c r="I5" s="401"/>
      <c r="J5" s="401"/>
    </row>
    <row r="6" spans="1:11" ht="17.399999999999999">
      <c r="A6" s="401" t="s">
        <v>155</v>
      </c>
      <c r="B6" s="401"/>
      <c r="C6" s="401"/>
      <c r="D6" s="401"/>
      <c r="E6" s="401"/>
      <c r="F6" s="401"/>
      <c r="G6" s="401"/>
      <c r="H6" s="401"/>
      <c r="I6" s="401"/>
      <c r="J6" s="401"/>
    </row>
    <row r="7" spans="1:11" ht="15.6">
      <c r="A7" s="402" t="s">
        <v>457</v>
      </c>
      <c r="B7" s="402"/>
      <c r="C7" s="402"/>
      <c r="D7" s="402"/>
      <c r="E7" s="402"/>
      <c r="F7" s="402"/>
      <c r="G7" s="402"/>
      <c r="H7" s="402"/>
      <c r="I7" s="402"/>
      <c r="J7" s="402"/>
    </row>
    <row r="8" spans="1:11" ht="15.6">
      <c r="A8" s="390" t="s">
        <v>157</v>
      </c>
      <c r="B8" s="390"/>
      <c r="C8" s="390"/>
      <c r="D8" s="390"/>
      <c r="E8" s="390"/>
      <c r="F8" s="390"/>
      <c r="G8" s="390"/>
      <c r="H8" s="390"/>
      <c r="I8" s="390"/>
      <c r="J8" s="390"/>
    </row>
    <row r="9" spans="1:11" ht="15.6">
      <c r="A9" s="390" t="s">
        <v>158</v>
      </c>
      <c r="B9" s="390"/>
      <c r="C9" s="390"/>
      <c r="D9" s="390"/>
      <c r="E9" s="390"/>
      <c r="F9" s="390"/>
      <c r="G9" s="390"/>
      <c r="H9" s="390"/>
      <c r="I9" s="390"/>
      <c r="J9" s="390"/>
    </row>
    <row r="10" spans="1:11" ht="15.6">
      <c r="A10" s="390" t="s">
        <v>159</v>
      </c>
      <c r="B10" s="390"/>
      <c r="C10" s="390"/>
      <c r="D10" s="390"/>
      <c r="E10" s="390"/>
      <c r="F10" s="390"/>
      <c r="G10" s="390"/>
      <c r="H10" s="390"/>
      <c r="I10" s="390"/>
      <c r="J10" s="390"/>
    </row>
    <row r="11" spans="1:11" ht="15.6">
      <c r="A11" s="390" t="s">
        <v>160</v>
      </c>
      <c r="B11" s="390"/>
      <c r="C11" s="390"/>
      <c r="D11" s="390"/>
      <c r="E11" s="390"/>
      <c r="F11" s="390"/>
      <c r="G11" s="390"/>
      <c r="H11" s="390"/>
      <c r="I11" s="390"/>
      <c r="J11" s="390"/>
    </row>
    <row r="12" spans="1:11" ht="22.8">
      <c r="A12" s="285" t="s">
        <v>161</v>
      </c>
      <c r="B12" s="391" t="s">
        <v>162</v>
      </c>
      <c r="C12" s="392"/>
      <c r="D12" s="285" t="s">
        <v>163</v>
      </c>
      <c r="E12" s="285" t="s">
        <v>164</v>
      </c>
      <c r="F12" s="285" t="s">
        <v>165</v>
      </c>
      <c r="G12" s="285" t="s">
        <v>166</v>
      </c>
      <c r="H12" s="285" t="s">
        <v>167</v>
      </c>
      <c r="I12" s="391" t="s">
        <v>168</v>
      </c>
      <c r="J12" s="393"/>
      <c r="K12" s="392"/>
    </row>
    <row r="13" spans="1:11" ht="24">
      <c r="A13" s="286" t="s">
        <v>169</v>
      </c>
      <c r="B13" s="394" t="s">
        <v>170</v>
      </c>
      <c r="C13" s="395"/>
      <c r="D13" s="286" t="s">
        <v>171</v>
      </c>
      <c r="E13" s="286" t="s">
        <v>172</v>
      </c>
      <c r="F13" s="287"/>
      <c r="G13" s="287"/>
      <c r="H13" s="286" t="s">
        <v>173</v>
      </c>
      <c r="I13" s="396">
        <v>562589.5</v>
      </c>
      <c r="J13" s="397"/>
      <c r="K13" s="398"/>
    </row>
    <row r="14" spans="1:11">
      <c r="A14" s="286" t="s">
        <v>169</v>
      </c>
      <c r="B14" s="394" t="s">
        <v>170</v>
      </c>
      <c r="C14" s="395"/>
      <c r="D14" s="286" t="s">
        <v>174</v>
      </c>
      <c r="E14" s="286" t="s">
        <v>175</v>
      </c>
      <c r="F14" s="287"/>
      <c r="G14" s="287"/>
      <c r="H14" s="286" t="s">
        <v>173</v>
      </c>
      <c r="I14" s="396">
        <v>11013533.060000001</v>
      </c>
      <c r="J14" s="397"/>
      <c r="K14" s="398"/>
    </row>
    <row r="15" spans="1:11" ht="24">
      <c r="A15" s="286" t="s">
        <v>169</v>
      </c>
      <c r="B15" s="394" t="s">
        <v>170</v>
      </c>
      <c r="C15" s="395"/>
      <c r="D15" s="286" t="s">
        <v>418</v>
      </c>
      <c r="E15" s="286" t="s">
        <v>419</v>
      </c>
      <c r="F15" s="287"/>
      <c r="G15" s="287"/>
      <c r="H15" s="286" t="s">
        <v>173</v>
      </c>
      <c r="I15" s="396">
        <v>349585.75</v>
      </c>
      <c r="J15" s="397"/>
      <c r="K15" s="398"/>
    </row>
    <row r="16" spans="1:11" ht="24">
      <c r="A16" s="286" t="s">
        <v>169</v>
      </c>
      <c r="B16" s="394" t="s">
        <v>170</v>
      </c>
      <c r="C16" s="395"/>
      <c r="D16" s="286" t="s">
        <v>176</v>
      </c>
      <c r="E16" s="286" t="s">
        <v>177</v>
      </c>
      <c r="F16" s="287"/>
      <c r="G16" s="287"/>
      <c r="H16" s="286" t="s">
        <v>173</v>
      </c>
      <c r="I16" s="396">
        <v>999963.84</v>
      </c>
      <c r="J16" s="397"/>
      <c r="K16" s="398"/>
    </row>
    <row r="17" spans="1:12">
      <c r="A17" s="286" t="s">
        <v>169</v>
      </c>
      <c r="B17" s="394" t="s">
        <v>170</v>
      </c>
      <c r="C17" s="395"/>
      <c r="D17" s="286" t="s">
        <v>178</v>
      </c>
      <c r="E17" s="286" t="s">
        <v>179</v>
      </c>
      <c r="F17" s="287"/>
      <c r="G17" s="287"/>
      <c r="H17" s="286" t="s">
        <v>173</v>
      </c>
      <c r="I17" s="396">
        <v>6073667.5700000003</v>
      </c>
      <c r="J17" s="397"/>
      <c r="K17" s="398"/>
    </row>
    <row r="18" spans="1:12">
      <c r="A18" s="286" t="s">
        <v>169</v>
      </c>
      <c r="B18" s="394" t="s">
        <v>170</v>
      </c>
      <c r="C18" s="395"/>
      <c r="D18" s="286" t="s">
        <v>180</v>
      </c>
      <c r="E18" s="286" t="s">
        <v>181</v>
      </c>
      <c r="F18" s="287"/>
      <c r="G18" s="287"/>
      <c r="H18" s="286" t="s">
        <v>173</v>
      </c>
      <c r="I18" s="396">
        <v>7235668.6100000003</v>
      </c>
      <c r="J18" s="397"/>
      <c r="K18" s="398"/>
    </row>
    <row r="19" spans="1:12">
      <c r="A19" s="286" t="s">
        <v>169</v>
      </c>
      <c r="B19" s="394" t="s">
        <v>170</v>
      </c>
      <c r="C19" s="395"/>
      <c r="D19" s="286" t="s">
        <v>182</v>
      </c>
      <c r="E19" s="286" t="s">
        <v>183</v>
      </c>
      <c r="F19" s="287"/>
      <c r="G19" s="287"/>
      <c r="H19" s="286" t="s">
        <v>173</v>
      </c>
      <c r="I19" s="396">
        <v>1354843.65</v>
      </c>
      <c r="J19" s="397"/>
      <c r="K19" s="398"/>
    </row>
    <row r="20" spans="1:12">
      <c r="A20" s="286" t="s">
        <v>169</v>
      </c>
      <c r="B20" s="394" t="s">
        <v>170</v>
      </c>
      <c r="C20" s="395"/>
      <c r="D20" s="286" t="s">
        <v>184</v>
      </c>
      <c r="E20" s="286" t="s">
        <v>185</v>
      </c>
      <c r="F20" s="287"/>
      <c r="G20" s="287"/>
      <c r="H20" s="286" t="s">
        <v>173</v>
      </c>
      <c r="I20" s="396">
        <v>739674.2</v>
      </c>
      <c r="J20" s="397"/>
      <c r="K20" s="398"/>
    </row>
    <row r="21" spans="1:12">
      <c r="A21" s="286" t="s">
        <v>169</v>
      </c>
      <c r="B21" s="394" t="s">
        <v>170</v>
      </c>
      <c r="C21" s="395"/>
      <c r="D21" s="286" t="s">
        <v>186</v>
      </c>
      <c r="E21" s="286" t="s">
        <v>187</v>
      </c>
      <c r="F21" s="287"/>
      <c r="G21" s="287"/>
      <c r="H21" s="286" t="s">
        <v>173</v>
      </c>
      <c r="I21" s="396">
        <v>243061.15</v>
      </c>
      <c r="J21" s="397"/>
      <c r="K21" s="398"/>
    </row>
    <row r="22" spans="1:12">
      <c r="A22" s="286" t="s">
        <v>169</v>
      </c>
      <c r="B22" s="394" t="s">
        <v>170</v>
      </c>
      <c r="C22" s="395"/>
      <c r="D22" s="286" t="s">
        <v>188</v>
      </c>
      <c r="E22" s="286" t="s">
        <v>189</v>
      </c>
      <c r="F22" s="287"/>
      <c r="G22" s="287"/>
      <c r="H22" s="286" t="s">
        <v>173</v>
      </c>
      <c r="I22" s="396">
        <v>886647.27</v>
      </c>
      <c r="J22" s="397"/>
      <c r="K22" s="398"/>
    </row>
    <row r="23" spans="1:12" s="290" customFormat="1" ht="48">
      <c r="A23" s="288" t="s">
        <v>169</v>
      </c>
      <c r="B23" s="403" t="s">
        <v>170</v>
      </c>
      <c r="C23" s="404"/>
      <c r="D23" s="288" t="s">
        <v>190</v>
      </c>
      <c r="E23" s="288" t="s">
        <v>191</v>
      </c>
      <c r="F23" s="289"/>
      <c r="G23" s="289"/>
      <c r="H23" s="288" t="s">
        <v>173</v>
      </c>
      <c r="I23" s="405">
        <v>4050404.33</v>
      </c>
      <c r="J23" s="406"/>
      <c r="K23" s="407"/>
    </row>
    <row r="24" spans="1:12" s="290" customFormat="1" ht="24">
      <c r="A24" s="288" t="s">
        <v>169</v>
      </c>
      <c r="B24" s="403" t="s">
        <v>170</v>
      </c>
      <c r="C24" s="404"/>
      <c r="D24" s="288" t="s">
        <v>192</v>
      </c>
      <c r="E24" s="288" t="s">
        <v>193</v>
      </c>
      <c r="F24" s="289"/>
      <c r="G24" s="289"/>
      <c r="H24" s="288" t="s">
        <v>173</v>
      </c>
      <c r="I24" s="405">
        <v>10763600</v>
      </c>
      <c r="J24" s="406"/>
      <c r="K24" s="407"/>
      <c r="L24" s="291">
        <f>SUM(I23:K24)</f>
        <v>14814004.33</v>
      </c>
    </row>
    <row r="25" spans="1:12">
      <c r="A25" s="286" t="s">
        <v>169</v>
      </c>
      <c r="B25" s="394" t="s">
        <v>170</v>
      </c>
      <c r="C25" s="395"/>
      <c r="D25" s="286" t="s">
        <v>194</v>
      </c>
      <c r="E25" s="286" t="s">
        <v>195</v>
      </c>
      <c r="F25" s="287"/>
      <c r="G25" s="287"/>
      <c r="H25" s="286" t="s">
        <v>173</v>
      </c>
      <c r="I25" s="396">
        <v>2870821.76</v>
      </c>
      <c r="J25" s="397"/>
      <c r="K25" s="398"/>
    </row>
    <row r="26" spans="1:12">
      <c r="A26" s="286" t="s">
        <v>169</v>
      </c>
      <c r="B26" s="394" t="s">
        <v>170</v>
      </c>
      <c r="C26" s="395"/>
      <c r="D26" s="286" t="s">
        <v>196</v>
      </c>
      <c r="E26" s="286" t="s">
        <v>197</v>
      </c>
      <c r="F26" s="287"/>
      <c r="G26" s="287"/>
      <c r="H26" s="286" t="s">
        <v>173</v>
      </c>
      <c r="I26" s="396">
        <v>13506.43</v>
      </c>
      <c r="J26" s="397"/>
      <c r="K26" s="398"/>
    </row>
    <row r="27" spans="1:12">
      <c r="A27" s="286" t="s">
        <v>169</v>
      </c>
      <c r="B27" s="394" t="s">
        <v>170</v>
      </c>
      <c r="C27" s="395"/>
      <c r="D27" s="286" t="s">
        <v>458</v>
      </c>
      <c r="E27" s="286" t="s">
        <v>459</v>
      </c>
      <c r="F27" s="287"/>
      <c r="G27" s="287"/>
      <c r="H27" s="286" t="s">
        <v>173</v>
      </c>
      <c r="I27" s="396">
        <v>25</v>
      </c>
      <c r="J27" s="397"/>
      <c r="K27" s="398"/>
    </row>
    <row r="28" spans="1:12" ht="24">
      <c r="A28" s="286" t="s">
        <v>169</v>
      </c>
      <c r="B28" s="394" t="s">
        <v>170</v>
      </c>
      <c r="C28" s="395"/>
      <c r="D28" s="286" t="s">
        <v>198</v>
      </c>
      <c r="E28" s="286" t="s">
        <v>199</v>
      </c>
      <c r="F28" s="287"/>
      <c r="G28" s="287"/>
      <c r="H28" s="286" t="s">
        <v>173</v>
      </c>
      <c r="I28" s="396">
        <v>1438470.84</v>
      </c>
      <c r="J28" s="397"/>
      <c r="K28" s="398"/>
    </row>
    <row r="29" spans="1:12" ht="24">
      <c r="A29" s="286" t="s">
        <v>169</v>
      </c>
      <c r="B29" s="394" t="s">
        <v>170</v>
      </c>
      <c r="C29" s="395"/>
      <c r="D29" s="286" t="s">
        <v>200</v>
      </c>
      <c r="E29" s="286" t="s">
        <v>201</v>
      </c>
      <c r="F29" s="287"/>
      <c r="G29" s="287"/>
      <c r="H29" s="286" t="s">
        <v>173</v>
      </c>
      <c r="I29" s="396">
        <v>513353.2</v>
      </c>
      <c r="J29" s="397"/>
      <c r="K29" s="398"/>
    </row>
    <row r="30" spans="1:12" ht="24">
      <c r="A30" s="286" t="s">
        <v>169</v>
      </c>
      <c r="B30" s="394" t="s">
        <v>170</v>
      </c>
      <c r="C30" s="395"/>
      <c r="D30" s="286" t="s">
        <v>202</v>
      </c>
      <c r="E30" s="286" t="s">
        <v>203</v>
      </c>
      <c r="F30" s="287"/>
      <c r="G30" s="287"/>
      <c r="H30" s="286" t="s">
        <v>173</v>
      </c>
      <c r="I30" s="396">
        <v>3888959.74</v>
      </c>
      <c r="J30" s="397"/>
      <c r="K30" s="398"/>
    </row>
    <row r="31" spans="1:12" ht="24">
      <c r="A31" s="286" t="s">
        <v>169</v>
      </c>
      <c r="B31" s="394" t="s">
        <v>170</v>
      </c>
      <c r="C31" s="395"/>
      <c r="D31" s="286" t="s">
        <v>204</v>
      </c>
      <c r="E31" s="286" t="s">
        <v>205</v>
      </c>
      <c r="F31" s="287"/>
      <c r="G31" s="287"/>
      <c r="H31" s="286" t="s">
        <v>173</v>
      </c>
      <c r="I31" s="396">
        <v>834695.93</v>
      </c>
      <c r="J31" s="397"/>
      <c r="K31" s="398"/>
    </row>
    <row r="32" spans="1:12">
      <c r="A32" s="286" t="s">
        <v>169</v>
      </c>
      <c r="B32" s="394" t="s">
        <v>170</v>
      </c>
      <c r="C32" s="395"/>
      <c r="D32" s="286" t="s">
        <v>206</v>
      </c>
      <c r="E32" s="286" t="s">
        <v>207</v>
      </c>
      <c r="F32" s="287"/>
      <c r="G32" s="287"/>
      <c r="H32" s="286" t="s">
        <v>173</v>
      </c>
      <c r="I32" s="396">
        <v>57646.01</v>
      </c>
      <c r="J32" s="397"/>
      <c r="K32" s="398"/>
    </row>
    <row r="33" spans="1:12" ht="24">
      <c r="A33" s="286" t="s">
        <v>169</v>
      </c>
      <c r="B33" s="394" t="s">
        <v>170</v>
      </c>
      <c r="C33" s="395"/>
      <c r="D33" s="286" t="s">
        <v>208</v>
      </c>
      <c r="E33" s="286" t="s">
        <v>209</v>
      </c>
      <c r="F33" s="287"/>
      <c r="G33" s="287"/>
      <c r="H33" s="286" t="s">
        <v>173</v>
      </c>
      <c r="I33" s="396">
        <v>689688.84</v>
      </c>
      <c r="J33" s="397"/>
      <c r="K33" s="398"/>
    </row>
    <row r="34" spans="1:12">
      <c r="A34" s="286" t="s">
        <v>169</v>
      </c>
      <c r="B34" s="394" t="s">
        <v>170</v>
      </c>
      <c r="C34" s="395"/>
      <c r="D34" s="286" t="s">
        <v>210</v>
      </c>
      <c r="E34" s="286" t="s">
        <v>211</v>
      </c>
      <c r="F34" s="287"/>
      <c r="G34" s="287"/>
      <c r="H34" s="286" t="s">
        <v>173</v>
      </c>
      <c r="I34" s="396">
        <v>18957</v>
      </c>
      <c r="J34" s="397"/>
      <c r="K34" s="398"/>
    </row>
    <row r="35" spans="1:12" ht="24">
      <c r="A35" s="286" t="s">
        <v>169</v>
      </c>
      <c r="B35" s="394" t="s">
        <v>170</v>
      </c>
      <c r="C35" s="395"/>
      <c r="D35" s="286" t="s">
        <v>212</v>
      </c>
      <c r="E35" s="286" t="s">
        <v>213</v>
      </c>
      <c r="F35" s="287"/>
      <c r="G35" s="287"/>
      <c r="H35" s="286" t="s">
        <v>173</v>
      </c>
      <c r="I35" s="396">
        <v>252856.5</v>
      </c>
      <c r="J35" s="397"/>
      <c r="K35" s="398"/>
    </row>
    <row r="36" spans="1:12" ht="24">
      <c r="A36" s="286" t="s">
        <v>169</v>
      </c>
      <c r="B36" s="394" t="s">
        <v>170</v>
      </c>
      <c r="C36" s="395"/>
      <c r="D36" s="286" t="s">
        <v>214</v>
      </c>
      <c r="E36" s="286" t="s">
        <v>215</v>
      </c>
      <c r="F36" s="287"/>
      <c r="G36" s="287"/>
      <c r="H36" s="286" t="s">
        <v>173</v>
      </c>
      <c r="I36" s="396">
        <v>553150.01</v>
      </c>
      <c r="J36" s="397"/>
      <c r="K36" s="398"/>
    </row>
    <row r="37" spans="1:12" ht="24">
      <c r="A37" s="286" t="s">
        <v>169</v>
      </c>
      <c r="B37" s="394" t="s">
        <v>170</v>
      </c>
      <c r="C37" s="395"/>
      <c r="D37" s="286" t="s">
        <v>216</v>
      </c>
      <c r="E37" s="286" t="s">
        <v>217</v>
      </c>
      <c r="F37" s="287"/>
      <c r="G37" s="287"/>
      <c r="H37" s="286" t="s">
        <v>173</v>
      </c>
      <c r="I37" s="396">
        <v>1348998.14</v>
      </c>
      <c r="J37" s="397"/>
      <c r="K37" s="398"/>
    </row>
    <row r="38" spans="1:12" ht="24">
      <c r="A38" s="286" t="s">
        <v>169</v>
      </c>
      <c r="B38" s="394" t="s">
        <v>170</v>
      </c>
      <c r="C38" s="395"/>
      <c r="D38" s="286" t="s">
        <v>218</v>
      </c>
      <c r="E38" s="286" t="s">
        <v>219</v>
      </c>
      <c r="F38" s="287"/>
      <c r="G38" s="287"/>
      <c r="H38" s="286" t="s">
        <v>173</v>
      </c>
      <c r="I38" s="396">
        <v>1853</v>
      </c>
      <c r="J38" s="397"/>
      <c r="K38" s="398"/>
    </row>
    <row r="39" spans="1:12">
      <c r="A39" s="286" t="s">
        <v>169</v>
      </c>
      <c r="B39" s="394" t="s">
        <v>170</v>
      </c>
      <c r="C39" s="395"/>
      <c r="D39" s="286" t="s">
        <v>220</v>
      </c>
      <c r="E39" s="286" t="s">
        <v>221</v>
      </c>
      <c r="F39" s="287"/>
      <c r="G39" s="287"/>
      <c r="H39" s="286" t="s">
        <v>173</v>
      </c>
      <c r="I39" s="396">
        <v>1783405.33</v>
      </c>
      <c r="J39" s="397"/>
      <c r="K39" s="398"/>
    </row>
    <row r="40" spans="1:12">
      <c r="A40" s="286" t="s">
        <v>169</v>
      </c>
      <c r="B40" s="394" t="s">
        <v>170</v>
      </c>
      <c r="C40" s="395"/>
      <c r="D40" s="286" t="s">
        <v>222</v>
      </c>
      <c r="E40" s="286" t="s">
        <v>223</v>
      </c>
      <c r="F40" s="287"/>
      <c r="G40" s="287"/>
      <c r="H40" s="286" t="s">
        <v>173</v>
      </c>
      <c r="I40" s="396">
        <v>2112671.7599999998</v>
      </c>
      <c r="J40" s="397"/>
      <c r="K40" s="398"/>
    </row>
    <row r="41" spans="1:12" s="290" customFormat="1">
      <c r="A41" s="288" t="s">
        <v>169</v>
      </c>
      <c r="B41" s="403" t="s">
        <v>170</v>
      </c>
      <c r="C41" s="404"/>
      <c r="D41" s="288" t="s">
        <v>424</v>
      </c>
      <c r="E41" s="288" t="s">
        <v>425</v>
      </c>
      <c r="F41" s="289"/>
      <c r="G41" s="289"/>
      <c r="H41" s="288" t="s">
        <v>173</v>
      </c>
      <c r="I41" s="405">
        <v>72224</v>
      </c>
      <c r="J41" s="406"/>
      <c r="K41" s="407"/>
      <c r="L41" s="291">
        <f>I41</f>
        <v>72224</v>
      </c>
    </row>
    <row r="42" spans="1:12" ht="24">
      <c r="A42" s="286" t="s">
        <v>169</v>
      </c>
      <c r="B42" s="394" t="s">
        <v>170</v>
      </c>
      <c r="C42" s="395"/>
      <c r="D42" s="286" t="s">
        <v>426</v>
      </c>
      <c r="E42" s="286" t="s">
        <v>427</v>
      </c>
      <c r="F42" s="287"/>
      <c r="G42" s="287"/>
      <c r="H42" s="286" t="s">
        <v>173</v>
      </c>
      <c r="I42" s="396">
        <v>-1808800</v>
      </c>
      <c r="J42" s="397"/>
      <c r="K42" s="398"/>
    </row>
    <row r="43" spans="1:12">
      <c r="A43" s="286" t="s">
        <v>169</v>
      </c>
      <c r="B43" s="394" t="s">
        <v>170</v>
      </c>
      <c r="C43" s="395"/>
      <c r="D43" s="286" t="s">
        <v>428</v>
      </c>
      <c r="E43" s="286" t="s">
        <v>429</v>
      </c>
      <c r="F43" s="287"/>
      <c r="G43" s="287"/>
      <c r="H43" s="286" t="s">
        <v>226</v>
      </c>
      <c r="I43" s="396">
        <v>1808800</v>
      </c>
      <c r="J43" s="397"/>
      <c r="K43" s="398"/>
    </row>
    <row r="44" spans="1:12" ht="24">
      <c r="A44" s="286" t="s">
        <v>169</v>
      </c>
      <c r="B44" s="394" t="s">
        <v>170</v>
      </c>
      <c r="C44" s="395"/>
      <c r="D44" s="286" t="s">
        <v>227</v>
      </c>
      <c r="E44" s="286" t="s">
        <v>228</v>
      </c>
      <c r="F44" s="287"/>
      <c r="G44" s="287"/>
      <c r="H44" s="286" t="s">
        <v>226</v>
      </c>
      <c r="I44" s="396">
        <v>887.46</v>
      </c>
      <c r="J44" s="397"/>
      <c r="K44" s="398"/>
    </row>
    <row r="45" spans="1:12" s="290" customFormat="1" ht="36">
      <c r="A45" s="288" t="s">
        <v>169</v>
      </c>
      <c r="B45" s="403" t="s">
        <v>170</v>
      </c>
      <c r="C45" s="404"/>
      <c r="D45" s="288" t="s">
        <v>229</v>
      </c>
      <c r="E45" s="288" t="s">
        <v>230</v>
      </c>
      <c r="F45" s="289"/>
      <c r="G45" s="289"/>
      <c r="H45" s="288" t="s">
        <v>226</v>
      </c>
      <c r="I45" s="405">
        <v>9386043.5800000001</v>
      </c>
      <c r="J45" s="406"/>
      <c r="K45" s="407"/>
      <c r="L45" s="291">
        <f>I45+I44</f>
        <v>9386931.040000001</v>
      </c>
    </row>
    <row r="46" spans="1:12" s="290" customFormat="1" ht="48">
      <c r="A46" s="288" t="s">
        <v>169</v>
      </c>
      <c r="B46" s="403" t="s">
        <v>170</v>
      </c>
      <c r="C46" s="404"/>
      <c r="D46" s="288" t="s">
        <v>231</v>
      </c>
      <c r="E46" s="288" t="s">
        <v>232</v>
      </c>
      <c r="F46" s="289"/>
      <c r="G46" s="289"/>
      <c r="H46" s="288" t="s">
        <v>173</v>
      </c>
      <c r="I46" s="405">
        <v>59432</v>
      </c>
      <c r="J46" s="406"/>
      <c r="K46" s="407"/>
    </row>
    <row r="47" spans="1:12" s="290" customFormat="1" ht="24">
      <c r="A47" s="288" t="s">
        <v>169</v>
      </c>
      <c r="B47" s="403" t="s">
        <v>170</v>
      </c>
      <c r="C47" s="404"/>
      <c r="D47" s="288" t="s">
        <v>460</v>
      </c>
      <c r="E47" s="288" t="s">
        <v>461</v>
      </c>
      <c r="F47" s="289"/>
      <c r="G47" s="289"/>
      <c r="H47" s="288" t="s">
        <v>226</v>
      </c>
      <c r="I47" s="405">
        <v>313384.12</v>
      </c>
      <c r="J47" s="406"/>
      <c r="K47" s="407"/>
    </row>
    <row r="48" spans="1:12" s="290" customFormat="1" ht="36">
      <c r="A48" s="288" t="s">
        <v>169</v>
      </c>
      <c r="B48" s="403" t="s">
        <v>170</v>
      </c>
      <c r="C48" s="404"/>
      <c r="D48" s="288" t="s">
        <v>233</v>
      </c>
      <c r="E48" s="288" t="s">
        <v>234</v>
      </c>
      <c r="F48" s="289"/>
      <c r="G48" s="289"/>
      <c r="H48" s="288" t="s">
        <v>173</v>
      </c>
      <c r="I48" s="405">
        <v>303314.24</v>
      </c>
      <c r="J48" s="406"/>
      <c r="K48" s="407"/>
    </row>
    <row r="49" spans="1:15" s="290" customFormat="1" ht="48">
      <c r="A49" s="288" t="s">
        <v>169</v>
      </c>
      <c r="B49" s="403" t="s">
        <v>170</v>
      </c>
      <c r="C49" s="404"/>
      <c r="D49" s="288" t="s">
        <v>432</v>
      </c>
      <c r="E49" s="288" t="s">
        <v>433</v>
      </c>
      <c r="F49" s="289"/>
      <c r="G49" s="289"/>
      <c r="H49" s="288" t="s">
        <v>226</v>
      </c>
      <c r="I49" s="405">
        <v>1046461.03</v>
      </c>
      <c r="J49" s="406"/>
      <c r="K49" s="407"/>
    </row>
    <row r="50" spans="1:15" s="290" customFormat="1" ht="36">
      <c r="A50" s="288" t="s">
        <v>169</v>
      </c>
      <c r="B50" s="403" t="s">
        <v>170</v>
      </c>
      <c r="C50" s="404"/>
      <c r="D50" s="288" t="s">
        <v>235</v>
      </c>
      <c r="E50" s="288" t="s">
        <v>236</v>
      </c>
      <c r="F50" s="289"/>
      <c r="G50" s="289"/>
      <c r="H50" s="288" t="s">
        <v>226</v>
      </c>
      <c r="I50" s="405">
        <v>4847872.07</v>
      </c>
      <c r="J50" s="406"/>
      <c r="K50" s="407"/>
    </row>
    <row r="51" spans="1:15" s="290" customFormat="1" ht="48">
      <c r="A51" s="288" t="s">
        <v>169</v>
      </c>
      <c r="B51" s="403" t="s">
        <v>170</v>
      </c>
      <c r="C51" s="404"/>
      <c r="D51" s="288" t="s">
        <v>237</v>
      </c>
      <c r="E51" s="288" t="s">
        <v>238</v>
      </c>
      <c r="F51" s="289"/>
      <c r="G51" s="289"/>
      <c r="H51" s="288" t="s">
        <v>226</v>
      </c>
      <c r="I51" s="405">
        <v>307922.78999999998</v>
      </c>
      <c r="J51" s="406"/>
      <c r="K51" s="407"/>
    </row>
    <row r="52" spans="1:15" s="290" customFormat="1" ht="24">
      <c r="A52" s="288" t="s">
        <v>169</v>
      </c>
      <c r="B52" s="403" t="s">
        <v>170</v>
      </c>
      <c r="C52" s="404"/>
      <c r="D52" s="288" t="s">
        <v>462</v>
      </c>
      <c r="E52" s="288" t="s">
        <v>435</v>
      </c>
      <c r="F52" s="289"/>
      <c r="G52" s="289"/>
      <c r="H52" s="288" t="s">
        <v>226</v>
      </c>
      <c r="I52" s="405">
        <v>411061.98</v>
      </c>
      <c r="J52" s="406"/>
      <c r="K52" s="407"/>
    </row>
    <row r="53" spans="1:15" s="290" customFormat="1" ht="24">
      <c r="A53" s="288" t="s">
        <v>169</v>
      </c>
      <c r="B53" s="403" t="s">
        <v>170</v>
      </c>
      <c r="C53" s="404"/>
      <c r="D53" s="288" t="s">
        <v>243</v>
      </c>
      <c r="E53" s="288" t="s">
        <v>244</v>
      </c>
      <c r="F53" s="289"/>
      <c r="G53" s="289"/>
      <c r="H53" s="288" t="s">
        <v>226</v>
      </c>
      <c r="I53" s="405">
        <v>61249.82</v>
      </c>
      <c r="J53" s="406"/>
      <c r="K53" s="407"/>
    </row>
    <row r="54" spans="1:15" s="290" customFormat="1">
      <c r="A54" s="288" t="s">
        <v>169</v>
      </c>
      <c r="B54" s="403" t="s">
        <v>170</v>
      </c>
      <c r="C54" s="404"/>
      <c r="D54" s="288" t="s">
        <v>245</v>
      </c>
      <c r="E54" s="288" t="s">
        <v>246</v>
      </c>
      <c r="F54" s="289"/>
      <c r="G54" s="289"/>
      <c r="H54" s="288" t="s">
        <v>226</v>
      </c>
      <c r="I54" s="405">
        <v>26143977.25</v>
      </c>
      <c r="J54" s="406"/>
      <c r="K54" s="407"/>
    </row>
    <row r="55" spans="1:15" s="290" customFormat="1" ht="24">
      <c r="A55" s="288" t="s">
        <v>169</v>
      </c>
      <c r="B55" s="403" t="s">
        <v>170</v>
      </c>
      <c r="C55" s="404"/>
      <c r="D55" s="288" t="s">
        <v>436</v>
      </c>
      <c r="E55" s="288" t="s">
        <v>244</v>
      </c>
      <c r="F55" s="289"/>
      <c r="G55" s="289"/>
      <c r="H55" s="288" t="s">
        <v>226</v>
      </c>
      <c r="I55" s="405">
        <v>4703041.41</v>
      </c>
      <c r="J55" s="406"/>
      <c r="K55" s="407"/>
      <c r="L55" s="291">
        <f>SUM(I46:K56)</f>
        <v>32455970.02</v>
      </c>
    </row>
    <row r="56" spans="1:15" s="290" customFormat="1">
      <c r="A56" s="288" t="s">
        <v>169</v>
      </c>
      <c r="B56" s="403" t="s">
        <v>170</v>
      </c>
      <c r="C56" s="404"/>
      <c r="D56" s="288" t="s">
        <v>247</v>
      </c>
      <c r="E56" s="288" t="s">
        <v>246</v>
      </c>
      <c r="F56" s="289"/>
      <c r="G56" s="289"/>
      <c r="H56" s="288" t="s">
        <v>226</v>
      </c>
      <c r="I56" s="405">
        <v>-5741746.6900000004</v>
      </c>
      <c r="J56" s="406"/>
      <c r="K56" s="407"/>
      <c r="L56" s="291">
        <f>SUM(I13:K56)</f>
        <v>102567423.47999999</v>
      </c>
      <c r="M56" s="291"/>
      <c r="N56" s="291"/>
      <c r="O56" s="291"/>
    </row>
    <row r="57" spans="1:15">
      <c r="A57" s="286" t="s">
        <v>169</v>
      </c>
      <c r="B57" s="394" t="s">
        <v>248</v>
      </c>
      <c r="C57" s="395"/>
      <c r="D57" s="286" t="s">
        <v>249</v>
      </c>
      <c r="E57" s="286" t="s">
        <v>250</v>
      </c>
      <c r="F57" s="287"/>
      <c r="G57" s="287"/>
      <c r="H57" s="286" t="s">
        <v>226</v>
      </c>
      <c r="I57" s="396">
        <v>3367888.1</v>
      </c>
      <c r="J57" s="397"/>
      <c r="K57" s="398"/>
    </row>
    <row r="58" spans="1:15">
      <c r="A58" s="286" t="s">
        <v>169</v>
      </c>
      <c r="B58" s="394" t="s">
        <v>256</v>
      </c>
      <c r="C58" s="395"/>
      <c r="D58" s="286" t="s">
        <v>257</v>
      </c>
      <c r="E58" s="286" t="s">
        <v>258</v>
      </c>
      <c r="F58" s="287"/>
      <c r="G58" s="287"/>
      <c r="H58" s="286" t="s">
        <v>173</v>
      </c>
      <c r="I58" s="396">
        <v>307079.28000000003</v>
      </c>
      <c r="J58" s="397"/>
      <c r="K58" s="398"/>
    </row>
    <row r="59" spans="1:15" ht="24">
      <c r="A59" s="286" t="s">
        <v>259</v>
      </c>
      <c r="B59" s="408"/>
      <c r="C59" s="409"/>
      <c r="D59" s="287"/>
      <c r="E59" s="287"/>
      <c r="F59" s="287"/>
      <c r="G59" s="287"/>
      <c r="H59" s="287"/>
      <c r="I59" s="396">
        <v>106242390.86</v>
      </c>
      <c r="J59" s="397"/>
      <c r="K59" s="398"/>
      <c r="O59" s="284" t="e">
        <f>[16]Sheet1!$M$51/O56</f>
        <v>#DIV/0!</v>
      </c>
    </row>
    <row r="60" spans="1:15">
      <c r="A60" s="286" t="s">
        <v>260</v>
      </c>
      <c r="B60" s="394" t="s">
        <v>170</v>
      </c>
      <c r="C60" s="395"/>
      <c r="D60" s="286" t="s">
        <v>261</v>
      </c>
      <c r="E60" s="286" t="s">
        <v>262</v>
      </c>
      <c r="F60" s="286" t="s">
        <v>263</v>
      </c>
      <c r="G60" s="286" t="s">
        <v>264</v>
      </c>
      <c r="H60" s="286" t="s">
        <v>173</v>
      </c>
      <c r="I60" s="396">
        <v>6302917</v>
      </c>
      <c r="J60" s="397"/>
      <c r="K60" s="398"/>
    </row>
    <row r="61" spans="1:15">
      <c r="A61" s="286" t="s">
        <v>260</v>
      </c>
      <c r="B61" s="394" t="s">
        <v>170</v>
      </c>
      <c r="C61" s="395"/>
      <c r="D61" s="286" t="s">
        <v>261</v>
      </c>
      <c r="E61" s="286" t="s">
        <v>262</v>
      </c>
      <c r="F61" s="286" t="s">
        <v>265</v>
      </c>
      <c r="G61" s="286" t="s">
        <v>266</v>
      </c>
      <c r="H61" s="286" t="s">
        <v>173</v>
      </c>
      <c r="I61" s="396">
        <v>41348</v>
      </c>
      <c r="J61" s="397"/>
      <c r="K61" s="398"/>
    </row>
    <row r="62" spans="1:15" ht="24">
      <c r="A62" s="286" t="s">
        <v>260</v>
      </c>
      <c r="B62" s="394" t="s">
        <v>170</v>
      </c>
      <c r="C62" s="395"/>
      <c r="D62" s="286" t="s">
        <v>261</v>
      </c>
      <c r="E62" s="286" t="s">
        <v>262</v>
      </c>
      <c r="F62" s="286" t="s">
        <v>267</v>
      </c>
      <c r="G62" s="286" t="s">
        <v>268</v>
      </c>
      <c r="H62" s="286" t="s">
        <v>173</v>
      </c>
      <c r="I62" s="396">
        <v>164905</v>
      </c>
      <c r="J62" s="397"/>
      <c r="K62" s="398"/>
    </row>
    <row r="63" spans="1:15">
      <c r="A63" s="286" t="s">
        <v>260</v>
      </c>
      <c r="B63" s="394" t="s">
        <v>170</v>
      </c>
      <c r="C63" s="395"/>
      <c r="D63" s="286" t="s">
        <v>261</v>
      </c>
      <c r="E63" s="286" t="s">
        <v>262</v>
      </c>
      <c r="F63" s="286" t="s">
        <v>269</v>
      </c>
      <c r="G63" s="286" t="s">
        <v>270</v>
      </c>
      <c r="H63" s="286" t="s">
        <v>173</v>
      </c>
      <c r="I63" s="396">
        <v>160336</v>
      </c>
      <c r="J63" s="397"/>
      <c r="K63" s="398"/>
    </row>
    <row r="64" spans="1:15">
      <c r="A64" s="286" t="s">
        <v>260</v>
      </c>
      <c r="B64" s="394" t="s">
        <v>170</v>
      </c>
      <c r="C64" s="395"/>
      <c r="D64" s="286" t="s">
        <v>261</v>
      </c>
      <c r="E64" s="286" t="s">
        <v>262</v>
      </c>
      <c r="F64" s="286" t="s">
        <v>271</v>
      </c>
      <c r="G64" s="286" t="s">
        <v>272</v>
      </c>
      <c r="H64" s="286" t="s">
        <v>173</v>
      </c>
      <c r="I64" s="396">
        <v>64050</v>
      </c>
      <c r="J64" s="397"/>
      <c r="K64" s="398"/>
    </row>
    <row r="65" spans="1:11">
      <c r="A65" s="286" t="s">
        <v>260</v>
      </c>
      <c r="B65" s="394" t="s">
        <v>170</v>
      </c>
      <c r="C65" s="395"/>
      <c r="D65" s="286" t="s">
        <v>261</v>
      </c>
      <c r="E65" s="286" t="s">
        <v>262</v>
      </c>
      <c r="F65" s="286" t="s">
        <v>273</v>
      </c>
      <c r="G65" s="286" t="s">
        <v>274</v>
      </c>
      <c r="H65" s="286" t="s">
        <v>173</v>
      </c>
      <c r="I65" s="396">
        <v>147184</v>
      </c>
      <c r="J65" s="397"/>
      <c r="K65" s="398"/>
    </row>
    <row r="66" spans="1:11">
      <c r="A66" s="286" t="s">
        <v>260</v>
      </c>
      <c r="B66" s="394" t="s">
        <v>170</v>
      </c>
      <c r="C66" s="395"/>
      <c r="D66" s="286" t="s">
        <v>261</v>
      </c>
      <c r="E66" s="286" t="s">
        <v>262</v>
      </c>
      <c r="F66" s="286" t="s">
        <v>279</v>
      </c>
      <c r="G66" s="286" t="s">
        <v>280</v>
      </c>
      <c r="H66" s="286" t="s">
        <v>173</v>
      </c>
      <c r="I66" s="396">
        <v>92240.34</v>
      </c>
      <c r="J66" s="397"/>
      <c r="K66" s="398"/>
    </row>
    <row r="67" spans="1:11">
      <c r="A67" s="286" t="s">
        <v>260</v>
      </c>
      <c r="B67" s="394" t="s">
        <v>170</v>
      </c>
      <c r="C67" s="395"/>
      <c r="D67" s="286" t="s">
        <v>261</v>
      </c>
      <c r="E67" s="286" t="s">
        <v>262</v>
      </c>
      <c r="F67" s="286" t="s">
        <v>281</v>
      </c>
      <c r="G67" s="286" t="s">
        <v>282</v>
      </c>
      <c r="H67" s="286" t="s">
        <v>173</v>
      </c>
      <c r="I67" s="396">
        <v>11199.26</v>
      </c>
      <c r="J67" s="397"/>
      <c r="K67" s="398"/>
    </row>
    <row r="68" spans="1:11" ht="24">
      <c r="A68" s="286" t="s">
        <v>260</v>
      </c>
      <c r="B68" s="394" t="s">
        <v>170</v>
      </c>
      <c r="C68" s="395"/>
      <c r="D68" s="286" t="s">
        <v>261</v>
      </c>
      <c r="E68" s="286" t="s">
        <v>262</v>
      </c>
      <c r="F68" s="286" t="s">
        <v>283</v>
      </c>
      <c r="G68" s="286" t="s">
        <v>284</v>
      </c>
      <c r="H68" s="286" t="s">
        <v>173</v>
      </c>
      <c r="I68" s="396">
        <v>21423.65</v>
      </c>
      <c r="J68" s="397"/>
      <c r="K68" s="398"/>
    </row>
    <row r="69" spans="1:11" ht="24">
      <c r="A69" s="286" t="s">
        <v>260</v>
      </c>
      <c r="B69" s="394" t="s">
        <v>170</v>
      </c>
      <c r="C69" s="395"/>
      <c r="D69" s="286" t="s">
        <v>261</v>
      </c>
      <c r="E69" s="286" t="s">
        <v>262</v>
      </c>
      <c r="F69" s="286" t="s">
        <v>285</v>
      </c>
      <c r="G69" s="286" t="s">
        <v>286</v>
      </c>
      <c r="H69" s="286" t="s">
        <v>173</v>
      </c>
      <c r="I69" s="396">
        <v>241327.35999999999</v>
      </c>
      <c r="J69" s="397"/>
      <c r="K69" s="398"/>
    </row>
    <row r="70" spans="1:11" ht="24">
      <c r="A70" s="286" t="s">
        <v>260</v>
      </c>
      <c r="B70" s="394" t="s">
        <v>170</v>
      </c>
      <c r="C70" s="395"/>
      <c r="D70" s="286" t="s">
        <v>261</v>
      </c>
      <c r="E70" s="286" t="s">
        <v>262</v>
      </c>
      <c r="F70" s="286" t="s">
        <v>287</v>
      </c>
      <c r="G70" s="286" t="s">
        <v>288</v>
      </c>
      <c r="H70" s="286" t="s">
        <v>173</v>
      </c>
      <c r="I70" s="396">
        <v>3275773.04</v>
      </c>
      <c r="J70" s="397"/>
      <c r="K70" s="398"/>
    </row>
    <row r="71" spans="1:11">
      <c r="A71" s="286" t="s">
        <v>260</v>
      </c>
      <c r="B71" s="394" t="s">
        <v>170</v>
      </c>
      <c r="C71" s="395"/>
      <c r="D71" s="286" t="s">
        <v>261</v>
      </c>
      <c r="E71" s="286" t="s">
        <v>262</v>
      </c>
      <c r="F71" s="286" t="s">
        <v>293</v>
      </c>
      <c r="G71" s="286" t="s">
        <v>294</v>
      </c>
      <c r="H71" s="286" t="s">
        <v>173</v>
      </c>
      <c r="I71" s="396">
        <v>9883.68</v>
      </c>
      <c r="J71" s="397"/>
      <c r="K71" s="398"/>
    </row>
    <row r="72" spans="1:11">
      <c r="A72" s="286" t="s">
        <v>260</v>
      </c>
      <c r="B72" s="394" t="s">
        <v>170</v>
      </c>
      <c r="C72" s="395"/>
      <c r="D72" s="286" t="s">
        <v>261</v>
      </c>
      <c r="E72" s="286" t="s">
        <v>262</v>
      </c>
      <c r="F72" s="286" t="s">
        <v>335</v>
      </c>
      <c r="G72" s="286" t="s">
        <v>336</v>
      </c>
      <c r="H72" s="286" t="s">
        <v>173</v>
      </c>
      <c r="I72" s="396">
        <v>1250</v>
      </c>
      <c r="J72" s="397"/>
      <c r="K72" s="398"/>
    </row>
    <row r="73" spans="1:11">
      <c r="A73" s="286" t="s">
        <v>260</v>
      </c>
      <c r="B73" s="394" t="s">
        <v>170</v>
      </c>
      <c r="C73" s="395"/>
      <c r="D73" s="286" t="s">
        <v>261</v>
      </c>
      <c r="E73" s="286" t="s">
        <v>262</v>
      </c>
      <c r="F73" s="286" t="s">
        <v>295</v>
      </c>
      <c r="G73" s="286" t="s">
        <v>296</v>
      </c>
      <c r="H73" s="286" t="s">
        <v>173</v>
      </c>
      <c r="I73" s="396">
        <v>3140</v>
      </c>
      <c r="J73" s="397"/>
      <c r="K73" s="398"/>
    </row>
    <row r="74" spans="1:11" ht="24">
      <c r="A74" s="286" t="s">
        <v>260</v>
      </c>
      <c r="B74" s="394" t="s">
        <v>170</v>
      </c>
      <c r="C74" s="395"/>
      <c r="D74" s="286" t="s">
        <v>261</v>
      </c>
      <c r="E74" s="286" t="s">
        <v>262</v>
      </c>
      <c r="F74" s="286" t="s">
        <v>303</v>
      </c>
      <c r="G74" s="286" t="s">
        <v>304</v>
      </c>
      <c r="H74" s="286" t="s">
        <v>173</v>
      </c>
      <c r="I74" s="396">
        <v>67529</v>
      </c>
      <c r="J74" s="397"/>
      <c r="K74" s="398"/>
    </row>
    <row r="75" spans="1:11">
      <c r="A75" s="286" t="s">
        <v>260</v>
      </c>
      <c r="B75" s="394" t="s">
        <v>170</v>
      </c>
      <c r="C75" s="395"/>
      <c r="D75" s="286" t="s">
        <v>261</v>
      </c>
      <c r="E75" s="286" t="s">
        <v>262</v>
      </c>
      <c r="F75" s="286" t="s">
        <v>305</v>
      </c>
      <c r="G75" s="286" t="s">
        <v>306</v>
      </c>
      <c r="H75" s="286" t="s">
        <v>226</v>
      </c>
      <c r="I75" s="396">
        <v>52776.08</v>
      </c>
      <c r="J75" s="397"/>
      <c r="K75" s="398"/>
    </row>
    <row r="76" spans="1:11" ht="36">
      <c r="A76" s="286" t="s">
        <v>260</v>
      </c>
      <c r="B76" s="394" t="s">
        <v>170</v>
      </c>
      <c r="C76" s="395"/>
      <c r="D76" s="286" t="s">
        <v>261</v>
      </c>
      <c r="E76" s="286" t="s">
        <v>262</v>
      </c>
      <c r="F76" s="286" t="s">
        <v>307</v>
      </c>
      <c r="G76" s="286" t="s">
        <v>308</v>
      </c>
      <c r="H76" s="286" t="s">
        <v>173</v>
      </c>
      <c r="I76" s="396">
        <v>-118700.09</v>
      </c>
      <c r="J76" s="397"/>
      <c r="K76" s="398"/>
    </row>
    <row r="77" spans="1:11" ht="24">
      <c r="A77" s="286" t="s">
        <v>260</v>
      </c>
      <c r="B77" s="394" t="s">
        <v>170</v>
      </c>
      <c r="C77" s="395"/>
      <c r="D77" s="286" t="s">
        <v>309</v>
      </c>
      <c r="E77" s="286" t="s">
        <v>310</v>
      </c>
      <c r="F77" s="286" t="s">
        <v>263</v>
      </c>
      <c r="G77" s="286" t="s">
        <v>264</v>
      </c>
      <c r="H77" s="286" t="s">
        <v>173</v>
      </c>
      <c r="I77" s="396">
        <v>257602</v>
      </c>
      <c r="J77" s="397"/>
      <c r="K77" s="398"/>
    </row>
    <row r="78" spans="1:11" ht="24">
      <c r="A78" s="286" t="s">
        <v>260</v>
      </c>
      <c r="B78" s="394" t="s">
        <v>170</v>
      </c>
      <c r="C78" s="395"/>
      <c r="D78" s="286" t="s">
        <v>309</v>
      </c>
      <c r="E78" s="286" t="s">
        <v>310</v>
      </c>
      <c r="F78" s="286" t="s">
        <v>269</v>
      </c>
      <c r="G78" s="286" t="s">
        <v>270</v>
      </c>
      <c r="H78" s="286" t="s">
        <v>173</v>
      </c>
      <c r="I78" s="396">
        <v>7593</v>
      </c>
      <c r="J78" s="397"/>
      <c r="K78" s="398"/>
    </row>
    <row r="79" spans="1:11" ht="24">
      <c r="A79" s="286" t="s">
        <v>260</v>
      </c>
      <c r="B79" s="394" t="s">
        <v>170</v>
      </c>
      <c r="C79" s="395"/>
      <c r="D79" s="286" t="s">
        <v>309</v>
      </c>
      <c r="E79" s="286" t="s">
        <v>310</v>
      </c>
      <c r="F79" s="286" t="s">
        <v>271</v>
      </c>
      <c r="G79" s="286" t="s">
        <v>272</v>
      </c>
      <c r="H79" s="286" t="s">
        <v>173</v>
      </c>
      <c r="I79" s="396">
        <v>4800</v>
      </c>
      <c r="J79" s="397"/>
      <c r="K79" s="398"/>
    </row>
    <row r="80" spans="1:11" ht="24">
      <c r="A80" s="286" t="s">
        <v>260</v>
      </c>
      <c r="B80" s="394" t="s">
        <v>170</v>
      </c>
      <c r="C80" s="395"/>
      <c r="D80" s="286" t="s">
        <v>309</v>
      </c>
      <c r="E80" s="286" t="s">
        <v>310</v>
      </c>
      <c r="F80" s="286" t="s">
        <v>273</v>
      </c>
      <c r="G80" s="286" t="s">
        <v>274</v>
      </c>
      <c r="H80" s="286" t="s">
        <v>173</v>
      </c>
      <c r="I80" s="396">
        <v>5968</v>
      </c>
      <c r="J80" s="397"/>
      <c r="K80" s="398"/>
    </row>
    <row r="81" spans="1:11" ht="24">
      <c r="A81" s="286" t="s">
        <v>260</v>
      </c>
      <c r="B81" s="394" t="s">
        <v>170</v>
      </c>
      <c r="C81" s="395"/>
      <c r="D81" s="286" t="s">
        <v>309</v>
      </c>
      <c r="E81" s="286" t="s">
        <v>310</v>
      </c>
      <c r="F81" s="286" t="s">
        <v>279</v>
      </c>
      <c r="G81" s="286" t="s">
        <v>280</v>
      </c>
      <c r="H81" s="286" t="s">
        <v>173</v>
      </c>
      <c r="I81" s="396">
        <v>1612.68</v>
      </c>
      <c r="J81" s="397"/>
      <c r="K81" s="398"/>
    </row>
    <row r="82" spans="1:11" ht="24">
      <c r="A82" s="286" t="s">
        <v>260</v>
      </c>
      <c r="B82" s="394" t="s">
        <v>170</v>
      </c>
      <c r="C82" s="395"/>
      <c r="D82" s="286" t="s">
        <v>309</v>
      </c>
      <c r="E82" s="286" t="s">
        <v>310</v>
      </c>
      <c r="F82" s="286" t="s">
        <v>281</v>
      </c>
      <c r="G82" s="286" t="s">
        <v>282</v>
      </c>
      <c r="H82" s="286" t="s">
        <v>173</v>
      </c>
      <c r="I82" s="396">
        <v>358.69</v>
      </c>
      <c r="J82" s="397"/>
      <c r="K82" s="398"/>
    </row>
    <row r="83" spans="1:11" ht="24">
      <c r="A83" s="286" t="s">
        <v>260</v>
      </c>
      <c r="B83" s="394" t="s">
        <v>170</v>
      </c>
      <c r="C83" s="395"/>
      <c r="D83" s="286" t="s">
        <v>309</v>
      </c>
      <c r="E83" s="286" t="s">
        <v>310</v>
      </c>
      <c r="F83" s="286" t="s">
        <v>283</v>
      </c>
      <c r="G83" s="286" t="s">
        <v>284</v>
      </c>
      <c r="H83" s="286" t="s">
        <v>173</v>
      </c>
      <c r="I83" s="396">
        <v>5664.25</v>
      </c>
      <c r="J83" s="397"/>
      <c r="K83" s="398"/>
    </row>
    <row r="84" spans="1:11" ht="24">
      <c r="A84" s="286" t="s">
        <v>260</v>
      </c>
      <c r="B84" s="394" t="s">
        <v>170</v>
      </c>
      <c r="C84" s="395"/>
      <c r="D84" s="286" t="s">
        <v>309</v>
      </c>
      <c r="E84" s="286" t="s">
        <v>310</v>
      </c>
      <c r="F84" s="286" t="s">
        <v>285</v>
      </c>
      <c r="G84" s="286" t="s">
        <v>286</v>
      </c>
      <c r="H84" s="286" t="s">
        <v>173</v>
      </c>
      <c r="I84" s="396">
        <v>3476.25</v>
      </c>
      <c r="J84" s="397"/>
      <c r="K84" s="398"/>
    </row>
    <row r="85" spans="1:11" ht="24">
      <c r="A85" s="286" t="s">
        <v>260</v>
      </c>
      <c r="B85" s="394" t="s">
        <v>170</v>
      </c>
      <c r="C85" s="395"/>
      <c r="D85" s="286" t="s">
        <v>309</v>
      </c>
      <c r="E85" s="286" t="s">
        <v>310</v>
      </c>
      <c r="F85" s="286" t="s">
        <v>287</v>
      </c>
      <c r="G85" s="286" t="s">
        <v>288</v>
      </c>
      <c r="H85" s="286" t="s">
        <v>173</v>
      </c>
      <c r="I85" s="396">
        <v>21603.95</v>
      </c>
      <c r="J85" s="397"/>
      <c r="K85" s="398"/>
    </row>
    <row r="86" spans="1:11" ht="36">
      <c r="A86" s="286" t="s">
        <v>260</v>
      </c>
      <c r="B86" s="394" t="s">
        <v>170</v>
      </c>
      <c r="C86" s="395"/>
      <c r="D86" s="286" t="s">
        <v>309</v>
      </c>
      <c r="E86" s="286" t="s">
        <v>310</v>
      </c>
      <c r="F86" s="286" t="s">
        <v>307</v>
      </c>
      <c r="G86" s="286" t="s">
        <v>308</v>
      </c>
      <c r="H86" s="286" t="s">
        <v>173</v>
      </c>
      <c r="I86" s="396">
        <v>-12</v>
      </c>
      <c r="J86" s="397"/>
      <c r="K86" s="398"/>
    </row>
    <row r="87" spans="1:11" ht="24">
      <c r="A87" s="286" t="s">
        <v>260</v>
      </c>
      <c r="B87" s="394" t="s">
        <v>170</v>
      </c>
      <c r="C87" s="395"/>
      <c r="D87" s="286" t="s">
        <v>311</v>
      </c>
      <c r="E87" s="286" t="s">
        <v>312</v>
      </c>
      <c r="F87" s="286" t="s">
        <v>287</v>
      </c>
      <c r="G87" s="286" t="s">
        <v>288</v>
      </c>
      <c r="H87" s="286" t="s">
        <v>173</v>
      </c>
      <c r="I87" s="396">
        <v>34420.769999999997</v>
      </c>
      <c r="J87" s="397"/>
      <c r="K87" s="398"/>
    </row>
    <row r="88" spans="1:11">
      <c r="A88" s="286" t="s">
        <v>260</v>
      </c>
      <c r="B88" s="394" t="s">
        <v>170</v>
      </c>
      <c r="C88" s="395"/>
      <c r="D88" s="286" t="s">
        <v>311</v>
      </c>
      <c r="E88" s="286" t="s">
        <v>312</v>
      </c>
      <c r="F88" s="286" t="s">
        <v>293</v>
      </c>
      <c r="G88" s="286" t="s">
        <v>294</v>
      </c>
      <c r="H88" s="286" t="s">
        <v>173</v>
      </c>
      <c r="I88" s="396">
        <v>2599.86</v>
      </c>
      <c r="J88" s="397"/>
      <c r="K88" s="398"/>
    </row>
    <row r="89" spans="1:11" ht="24">
      <c r="A89" s="286" t="s">
        <v>260</v>
      </c>
      <c r="B89" s="394" t="s">
        <v>170</v>
      </c>
      <c r="C89" s="395"/>
      <c r="D89" s="286" t="s">
        <v>313</v>
      </c>
      <c r="E89" s="286" t="s">
        <v>314</v>
      </c>
      <c r="F89" s="286" t="s">
        <v>315</v>
      </c>
      <c r="G89" s="286" t="s">
        <v>316</v>
      </c>
      <c r="H89" s="286" t="s">
        <v>173</v>
      </c>
      <c r="I89" s="396">
        <v>2780561.72</v>
      </c>
      <c r="J89" s="397"/>
      <c r="K89" s="398"/>
    </row>
    <row r="90" spans="1:11">
      <c r="A90" s="286" t="s">
        <v>260</v>
      </c>
      <c r="B90" s="394" t="s">
        <v>170</v>
      </c>
      <c r="C90" s="395"/>
      <c r="D90" s="286" t="s">
        <v>317</v>
      </c>
      <c r="E90" s="286" t="s">
        <v>318</v>
      </c>
      <c r="F90" s="286" t="s">
        <v>263</v>
      </c>
      <c r="G90" s="286" t="s">
        <v>264</v>
      </c>
      <c r="H90" s="286" t="s">
        <v>173</v>
      </c>
      <c r="I90" s="396">
        <v>749642</v>
      </c>
      <c r="J90" s="397"/>
      <c r="K90" s="398"/>
    </row>
    <row r="91" spans="1:11">
      <c r="A91" s="286" t="s">
        <v>260</v>
      </c>
      <c r="B91" s="394" t="s">
        <v>170</v>
      </c>
      <c r="C91" s="395"/>
      <c r="D91" s="286" t="s">
        <v>317</v>
      </c>
      <c r="E91" s="286" t="s">
        <v>318</v>
      </c>
      <c r="F91" s="286" t="s">
        <v>265</v>
      </c>
      <c r="G91" s="286" t="s">
        <v>266</v>
      </c>
      <c r="H91" s="286" t="s">
        <v>173</v>
      </c>
      <c r="I91" s="396">
        <v>36242</v>
      </c>
      <c r="J91" s="397"/>
      <c r="K91" s="398"/>
    </row>
    <row r="92" spans="1:11">
      <c r="A92" s="286" t="s">
        <v>260</v>
      </c>
      <c r="B92" s="394" t="s">
        <v>170</v>
      </c>
      <c r="C92" s="395"/>
      <c r="D92" s="286" t="s">
        <v>317</v>
      </c>
      <c r="E92" s="286" t="s">
        <v>318</v>
      </c>
      <c r="F92" s="286" t="s">
        <v>319</v>
      </c>
      <c r="G92" s="286" t="s">
        <v>320</v>
      </c>
      <c r="H92" s="286" t="s">
        <v>173</v>
      </c>
      <c r="I92" s="396">
        <v>146173</v>
      </c>
      <c r="J92" s="397"/>
      <c r="K92" s="398"/>
    </row>
    <row r="93" spans="1:11">
      <c r="A93" s="286" t="s">
        <v>260</v>
      </c>
      <c r="B93" s="394" t="s">
        <v>170</v>
      </c>
      <c r="C93" s="395"/>
      <c r="D93" s="286" t="s">
        <v>317</v>
      </c>
      <c r="E93" s="286" t="s">
        <v>318</v>
      </c>
      <c r="F93" s="286" t="s">
        <v>271</v>
      </c>
      <c r="G93" s="286" t="s">
        <v>272</v>
      </c>
      <c r="H93" s="286" t="s">
        <v>173</v>
      </c>
      <c r="I93" s="396">
        <v>14400</v>
      </c>
      <c r="J93" s="397"/>
      <c r="K93" s="398"/>
    </row>
    <row r="94" spans="1:11">
      <c r="A94" s="286" t="s">
        <v>260</v>
      </c>
      <c r="B94" s="394" t="s">
        <v>170</v>
      </c>
      <c r="C94" s="395"/>
      <c r="D94" s="286" t="s">
        <v>317</v>
      </c>
      <c r="E94" s="286" t="s">
        <v>318</v>
      </c>
      <c r="F94" s="286" t="s">
        <v>273</v>
      </c>
      <c r="G94" s="286" t="s">
        <v>274</v>
      </c>
      <c r="H94" s="286" t="s">
        <v>173</v>
      </c>
      <c r="I94" s="396">
        <v>17656</v>
      </c>
      <c r="J94" s="397"/>
      <c r="K94" s="398"/>
    </row>
    <row r="95" spans="1:11">
      <c r="A95" s="286" t="s">
        <v>260</v>
      </c>
      <c r="B95" s="394" t="s">
        <v>170</v>
      </c>
      <c r="C95" s="395"/>
      <c r="D95" s="286" t="s">
        <v>317</v>
      </c>
      <c r="E95" s="286" t="s">
        <v>318</v>
      </c>
      <c r="F95" s="286" t="s">
        <v>279</v>
      </c>
      <c r="G95" s="286" t="s">
        <v>280</v>
      </c>
      <c r="H95" s="286" t="s">
        <v>173</v>
      </c>
      <c r="I95" s="396">
        <v>11972.84</v>
      </c>
      <c r="J95" s="397"/>
      <c r="K95" s="398"/>
    </row>
    <row r="96" spans="1:11">
      <c r="A96" s="286" t="s">
        <v>260</v>
      </c>
      <c r="B96" s="394" t="s">
        <v>170</v>
      </c>
      <c r="C96" s="395"/>
      <c r="D96" s="286" t="s">
        <v>317</v>
      </c>
      <c r="E96" s="286" t="s">
        <v>318</v>
      </c>
      <c r="F96" s="286" t="s">
        <v>281</v>
      </c>
      <c r="G96" s="286" t="s">
        <v>282</v>
      </c>
      <c r="H96" s="286" t="s">
        <v>173</v>
      </c>
      <c r="I96" s="396">
        <v>452.82</v>
      </c>
      <c r="J96" s="397"/>
      <c r="K96" s="398"/>
    </row>
    <row r="97" spans="1:11" ht="24">
      <c r="A97" s="286" t="s">
        <v>260</v>
      </c>
      <c r="B97" s="394" t="s">
        <v>170</v>
      </c>
      <c r="C97" s="395"/>
      <c r="D97" s="286" t="s">
        <v>317</v>
      </c>
      <c r="E97" s="286" t="s">
        <v>318</v>
      </c>
      <c r="F97" s="286" t="s">
        <v>283</v>
      </c>
      <c r="G97" s="286" t="s">
        <v>284</v>
      </c>
      <c r="H97" s="286" t="s">
        <v>173</v>
      </c>
      <c r="I97" s="396">
        <v>32348.95</v>
      </c>
      <c r="J97" s="397"/>
      <c r="K97" s="398"/>
    </row>
    <row r="98" spans="1:11" ht="24">
      <c r="A98" s="286" t="s">
        <v>260</v>
      </c>
      <c r="B98" s="394" t="s">
        <v>170</v>
      </c>
      <c r="C98" s="395"/>
      <c r="D98" s="286" t="s">
        <v>317</v>
      </c>
      <c r="E98" s="286" t="s">
        <v>318</v>
      </c>
      <c r="F98" s="286" t="s">
        <v>285</v>
      </c>
      <c r="G98" s="286" t="s">
        <v>286</v>
      </c>
      <c r="H98" s="286" t="s">
        <v>173</v>
      </c>
      <c r="I98" s="396">
        <v>11695.42</v>
      </c>
      <c r="J98" s="397"/>
      <c r="K98" s="398"/>
    </row>
    <row r="99" spans="1:11" ht="24">
      <c r="A99" s="286" t="s">
        <v>260</v>
      </c>
      <c r="B99" s="394" t="s">
        <v>170</v>
      </c>
      <c r="C99" s="395"/>
      <c r="D99" s="286" t="s">
        <v>317</v>
      </c>
      <c r="E99" s="286" t="s">
        <v>318</v>
      </c>
      <c r="F99" s="286" t="s">
        <v>287</v>
      </c>
      <c r="G99" s="286" t="s">
        <v>288</v>
      </c>
      <c r="H99" s="286" t="s">
        <v>173</v>
      </c>
      <c r="I99" s="396">
        <v>39233.519999999997</v>
      </c>
      <c r="J99" s="397"/>
      <c r="K99" s="398"/>
    </row>
    <row r="100" spans="1:11">
      <c r="A100" s="286" t="s">
        <v>260</v>
      </c>
      <c r="B100" s="394" t="s">
        <v>170</v>
      </c>
      <c r="C100" s="395"/>
      <c r="D100" s="286" t="s">
        <v>317</v>
      </c>
      <c r="E100" s="286" t="s">
        <v>318</v>
      </c>
      <c r="F100" s="286" t="s">
        <v>321</v>
      </c>
      <c r="G100" s="286" t="s">
        <v>322</v>
      </c>
      <c r="H100" s="286" t="s">
        <v>173</v>
      </c>
      <c r="I100" s="396">
        <v>28314.87</v>
      </c>
      <c r="J100" s="397"/>
      <c r="K100" s="398"/>
    </row>
    <row r="101" spans="1:11">
      <c r="A101" s="286" t="s">
        <v>260</v>
      </c>
      <c r="B101" s="394" t="s">
        <v>170</v>
      </c>
      <c r="C101" s="395"/>
      <c r="D101" s="286" t="s">
        <v>317</v>
      </c>
      <c r="E101" s="286" t="s">
        <v>318</v>
      </c>
      <c r="F101" s="286" t="s">
        <v>335</v>
      </c>
      <c r="G101" s="286" t="s">
        <v>336</v>
      </c>
      <c r="H101" s="286" t="s">
        <v>173</v>
      </c>
      <c r="I101" s="396">
        <v>2550</v>
      </c>
      <c r="J101" s="397"/>
      <c r="K101" s="398"/>
    </row>
    <row r="102" spans="1:11">
      <c r="A102" s="286" t="s">
        <v>260</v>
      </c>
      <c r="B102" s="394" t="s">
        <v>170</v>
      </c>
      <c r="C102" s="395"/>
      <c r="D102" s="286" t="s">
        <v>317</v>
      </c>
      <c r="E102" s="286" t="s">
        <v>318</v>
      </c>
      <c r="F102" s="286" t="s">
        <v>295</v>
      </c>
      <c r="G102" s="286" t="s">
        <v>296</v>
      </c>
      <c r="H102" s="286" t="s">
        <v>173</v>
      </c>
      <c r="I102" s="396">
        <v>375</v>
      </c>
      <c r="J102" s="397"/>
      <c r="K102" s="398"/>
    </row>
    <row r="103" spans="1:11" ht="24">
      <c r="A103" s="286" t="s">
        <v>260</v>
      </c>
      <c r="B103" s="394" t="s">
        <v>170</v>
      </c>
      <c r="C103" s="395"/>
      <c r="D103" s="286" t="s">
        <v>317</v>
      </c>
      <c r="E103" s="286" t="s">
        <v>318</v>
      </c>
      <c r="F103" s="286" t="s">
        <v>395</v>
      </c>
      <c r="G103" s="286" t="s">
        <v>396</v>
      </c>
      <c r="H103" s="286" t="s">
        <v>226</v>
      </c>
      <c r="I103" s="396">
        <v>134873.5</v>
      </c>
      <c r="J103" s="397"/>
      <c r="K103" s="398"/>
    </row>
    <row r="104" spans="1:11">
      <c r="A104" s="286" t="s">
        <v>260</v>
      </c>
      <c r="B104" s="394" t="s">
        <v>170</v>
      </c>
      <c r="C104" s="395"/>
      <c r="D104" s="286" t="s">
        <v>317</v>
      </c>
      <c r="E104" s="286" t="s">
        <v>318</v>
      </c>
      <c r="F104" s="286" t="s">
        <v>305</v>
      </c>
      <c r="G104" s="286" t="s">
        <v>306</v>
      </c>
      <c r="H104" s="286" t="s">
        <v>226</v>
      </c>
      <c r="I104" s="396">
        <v>8782.2000000000007</v>
      </c>
      <c r="J104" s="397"/>
      <c r="K104" s="398"/>
    </row>
    <row r="105" spans="1:11" ht="36">
      <c r="A105" s="286" t="s">
        <v>260</v>
      </c>
      <c r="B105" s="394" t="s">
        <v>170</v>
      </c>
      <c r="C105" s="395"/>
      <c r="D105" s="286" t="s">
        <v>317</v>
      </c>
      <c r="E105" s="286" t="s">
        <v>318</v>
      </c>
      <c r="F105" s="286" t="s">
        <v>307</v>
      </c>
      <c r="G105" s="286" t="s">
        <v>308</v>
      </c>
      <c r="H105" s="286" t="s">
        <v>173</v>
      </c>
      <c r="I105" s="396">
        <v>-26622.81</v>
      </c>
      <c r="J105" s="397"/>
      <c r="K105" s="398"/>
    </row>
    <row r="106" spans="1:11">
      <c r="A106" s="286" t="s">
        <v>260</v>
      </c>
      <c r="B106" s="394" t="s">
        <v>170</v>
      </c>
      <c r="C106" s="395"/>
      <c r="D106" s="286" t="s">
        <v>323</v>
      </c>
      <c r="E106" s="286" t="s">
        <v>324</v>
      </c>
      <c r="F106" s="286" t="s">
        <v>263</v>
      </c>
      <c r="G106" s="286" t="s">
        <v>264</v>
      </c>
      <c r="H106" s="286" t="s">
        <v>173</v>
      </c>
      <c r="I106" s="396">
        <v>109534</v>
      </c>
      <c r="J106" s="397"/>
      <c r="K106" s="398"/>
    </row>
    <row r="107" spans="1:11">
      <c r="A107" s="286" t="s">
        <v>260</v>
      </c>
      <c r="B107" s="394" t="s">
        <v>170</v>
      </c>
      <c r="C107" s="395"/>
      <c r="D107" s="286" t="s">
        <v>323</v>
      </c>
      <c r="E107" s="286" t="s">
        <v>324</v>
      </c>
      <c r="F107" s="286" t="s">
        <v>269</v>
      </c>
      <c r="G107" s="286" t="s">
        <v>270</v>
      </c>
      <c r="H107" s="286" t="s">
        <v>173</v>
      </c>
      <c r="I107" s="396">
        <v>7873</v>
      </c>
      <c r="J107" s="397"/>
      <c r="K107" s="398"/>
    </row>
    <row r="108" spans="1:11">
      <c r="A108" s="286" t="s">
        <v>260</v>
      </c>
      <c r="B108" s="394" t="s">
        <v>170</v>
      </c>
      <c r="C108" s="395"/>
      <c r="D108" s="286" t="s">
        <v>323</v>
      </c>
      <c r="E108" s="286" t="s">
        <v>324</v>
      </c>
      <c r="F108" s="286" t="s">
        <v>271</v>
      </c>
      <c r="G108" s="286" t="s">
        <v>272</v>
      </c>
      <c r="H108" s="286" t="s">
        <v>173</v>
      </c>
      <c r="I108" s="396">
        <v>3200</v>
      </c>
      <c r="J108" s="397"/>
      <c r="K108" s="398"/>
    </row>
    <row r="109" spans="1:11">
      <c r="A109" s="286" t="s">
        <v>260</v>
      </c>
      <c r="B109" s="394" t="s">
        <v>170</v>
      </c>
      <c r="C109" s="395"/>
      <c r="D109" s="286" t="s">
        <v>323</v>
      </c>
      <c r="E109" s="286" t="s">
        <v>324</v>
      </c>
      <c r="F109" s="286" t="s">
        <v>273</v>
      </c>
      <c r="G109" s="286" t="s">
        <v>274</v>
      </c>
      <c r="H109" s="286" t="s">
        <v>173</v>
      </c>
      <c r="I109" s="396">
        <v>2642</v>
      </c>
      <c r="J109" s="397"/>
      <c r="K109" s="398"/>
    </row>
    <row r="110" spans="1:11">
      <c r="A110" s="286" t="s">
        <v>260</v>
      </c>
      <c r="B110" s="394" t="s">
        <v>170</v>
      </c>
      <c r="C110" s="395"/>
      <c r="D110" s="286" t="s">
        <v>323</v>
      </c>
      <c r="E110" s="286" t="s">
        <v>324</v>
      </c>
      <c r="F110" s="286" t="s">
        <v>279</v>
      </c>
      <c r="G110" s="286" t="s">
        <v>280</v>
      </c>
      <c r="H110" s="286" t="s">
        <v>173</v>
      </c>
      <c r="I110" s="396">
        <v>3269.76</v>
      </c>
      <c r="J110" s="397"/>
      <c r="K110" s="398"/>
    </row>
    <row r="111" spans="1:11">
      <c r="A111" s="286" t="s">
        <v>260</v>
      </c>
      <c r="B111" s="394" t="s">
        <v>170</v>
      </c>
      <c r="C111" s="395"/>
      <c r="D111" s="286" t="s">
        <v>323</v>
      </c>
      <c r="E111" s="286" t="s">
        <v>324</v>
      </c>
      <c r="F111" s="286" t="s">
        <v>281</v>
      </c>
      <c r="G111" s="286" t="s">
        <v>282</v>
      </c>
      <c r="H111" s="286" t="s">
        <v>173</v>
      </c>
      <c r="I111" s="396">
        <v>151.51</v>
      </c>
      <c r="J111" s="397"/>
      <c r="K111" s="398"/>
    </row>
    <row r="112" spans="1:11" ht="24">
      <c r="A112" s="286" t="s">
        <v>260</v>
      </c>
      <c r="B112" s="394" t="s">
        <v>170</v>
      </c>
      <c r="C112" s="395"/>
      <c r="D112" s="286" t="s">
        <v>323</v>
      </c>
      <c r="E112" s="286" t="s">
        <v>324</v>
      </c>
      <c r="F112" s="286" t="s">
        <v>283</v>
      </c>
      <c r="G112" s="286" t="s">
        <v>284</v>
      </c>
      <c r="H112" s="286" t="s">
        <v>173</v>
      </c>
      <c r="I112" s="396">
        <v>4662.53</v>
      </c>
      <c r="J112" s="397"/>
      <c r="K112" s="398"/>
    </row>
    <row r="113" spans="1:11" ht="24">
      <c r="A113" s="286" t="s">
        <v>260</v>
      </c>
      <c r="B113" s="394" t="s">
        <v>170</v>
      </c>
      <c r="C113" s="395"/>
      <c r="D113" s="286" t="s">
        <v>323</v>
      </c>
      <c r="E113" s="286" t="s">
        <v>324</v>
      </c>
      <c r="F113" s="286" t="s">
        <v>285</v>
      </c>
      <c r="G113" s="286" t="s">
        <v>286</v>
      </c>
      <c r="H113" s="286" t="s">
        <v>173</v>
      </c>
      <c r="I113" s="396">
        <v>961.57</v>
      </c>
      <c r="J113" s="397"/>
      <c r="K113" s="398"/>
    </row>
    <row r="114" spans="1:11" ht="24">
      <c r="A114" s="286" t="s">
        <v>260</v>
      </c>
      <c r="B114" s="394" t="s">
        <v>170</v>
      </c>
      <c r="C114" s="395"/>
      <c r="D114" s="286" t="s">
        <v>323</v>
      </c>
      <c r="E114" s="286" t="s">
        <v>324</v>
      </c>
      <c r="F114" s="286" t="s">
        <v>287</v>
      </c>
      <c r="G114" s="286" t="s">
        <v>288</v>
      </c>
      <c r="H114" s="286" t="s">
        <v>173</v>
      </c>
      <c r="I114" s="396">
        <v>822.29</v>
      </c>
      <c r="J114" s="397"/>
      <c r="K114" s="398"/>
    </row>
    <row r="115" spans="1:11" ht="24">
      <c r="A115" s="286" t="s">
        <v>260</v>
      </c>
      <c r="B115" s="394" t="s">
        <v>170</v>
      </c>
      <c r="C115" s="395"/>
      <c r="D115" s="286" t="s">
        <v>325</v>
      </c>
      <c r="E115" s="286" t="s">
        <v>326</v>
      </c>
      <c r="F115" s="286" t="s">
        <v>327</v>
      </c>
      <c r="G115" s="286" t="s">
        <v>328</v>
      </c>
      <c r="H115" s="286" t="s">
        <v>173</v>
      </c>
      <c r="I115" s="396">
        <v>2999</v>
      </c>
      <c r="J115" s="397"/>
      <c r="K115" s="398"/>
    </row>
    <row r="116" spans="1:11">
      <c r="A116" s="286" t="s">
        <v>260</v>
      </c>
      <c r="B116" s="394" t="s">
        <v>170</v>
      </c>
      <c r="C116" s="395"/>
      <c r="D116" s="286" t="s">
        <v>325</v>
      </c>
      <c r="E116" s="286" t="s">
        <v>326</v>
      </c>
      <c r="F116" s="286" t="s">
        <v>279</v>
      </c>
      <c r="G116" s="286" t="s">
        <v>280</v>
      </c>
      <c r="H116" s="286" t="s">
        <v>173</v>
      </c>
      <c r="I116" s="396">
        <v>17354.900000000001</v>
      </c>
      <c r="J116" s="397"/>
      <c r="K116" s="398"/>
    </row>
    <row r="117" spans="1:11">
      <c r="A117" s="286" t="s">
        <v>260</v>
      </c>
      <c r="B117" s="394" t="s">
        <v>170</v>
      </c>
      <c r="C117" s="395"/>
      <c r="D117" s="286" t="s">
        <v>325</v>
      </c>
      <c r="E117" s="286" t="s">
        <v>326</v>
      </c>
      <c r="F117" s="286" t="s">
        <v>281</v>
      </c>
      <c r="G117" s="286" t="s">
        <v>282</v>
      </c>
      <c r="H117" s="286" t="s">
        <v>173</v>
      </c>
      <c r="I117" s="396">
        <v>2774.86</v>
      </c>
      <c r="J117" s="397"/>
      <c r="K117" s="398"/>
    </row>
    <row r="118" spans="1:11" ht="24">
      <c r="A118" s="286" t="s">
        <v>260</v>
      </c>
      <c r="B118" s="394" t="s">
        <v>170</v>
      </c>
      <c r="C118" s="395"/>
      <c r="D118" s="286" t="s">
        <v>325</v>
      </c>
      <c r="E118" s="286" t="s">
        <v>326</v>
      </c>
      <c r="F118" s="286" t="s">
        <v>285</v>
      </c>
      <c r="G118" s="286" t="s">
        <v>286</v>
      </c>
      <c r="H118" s="286" t="s">
        <v>173</v>
      </c>
      <c r="I118" s="396">
        <v>751.61</v>
      </c>
      <c r="J118" s="397"/>
      <c r="K118" s="398"/>
    </row>
    <row r="119" spans="1:11" ht="24">
      <c r="A119" s="286" t="s">
        <v>260</v>
      </c>
      <c r="B119" s="394" t="s">
        <v>170</v>
      </c>
      <c r="C119" s="395"/>
      <c r="D119" s="286" t="s">
        <v>325</v>
      </c>
      <c r="E119" s="286" t="s">
        <v>326</v>
      </c>
      <c r="F119" s="286" t="s">
        <v>287</v>
      </c>
      <c r="G119" s="286" t="s">
        <v>288</v>
      </c>
      <c r="H119" s="286" t="s">
        <v>173</v>
      </c>
      <c r="I119" s="396">
        <v>25072.01</v>
      </c>
      <c r="J119" s="397"/>
      <c r="K119" s="398"/>
    </row>
    <row r="120" spans="1:11">
      <c r="A120" s="286" t="s">
        <v>260</v>
      </c>
      <c r="B120" s="394" t="s">
        <v>170</v>
      </c>
      <c r="C120" s="395"/>
      <c r="D120" s="286" t="s">
        <v>325</v>
      </c>
      <c r="E120" s="286" t="s">
        <v>326</v>
      </c>
      <c r="F120" s="286" t="s">
        <v>293</v>
      </c>
      <c r="G120" s="286" t="s">
        <v>294</v>
      </c>
      <c r="H120" s="286" t="s">
        <v>173</v>
      </c>
      <c r="I120" s="396">
        <v>2000</v>
      </c>
      <c r="J120" s="397"/>
      <c r="K120" s="398"/>
    </row>
    <row r="121" spans="1:11">
      <c r="A121" s="286" t="s">
        <v>260</v>
      </c>
      <c r="B121" s="394" t="s">
        <v>170</v>
      </c>
      <c r="C121" s="395"/>
      <c r="D121" s="286" t="s">
        <v>325</v>
      </c>
      <c r="E121" s="286" t="s">
        <v>326</v>
      </c>
      <c r="F121" s="286" t="s">
        <v>335</v>
      </c>
      <c r="G121" s="286" t="s">
        <v>336</v>
      </c>
      <c r="H121" s="286" t="s">
        <v>173</v>
      </c>
      <c r="I121" s="396">
        <v>609</v>
      </c>
      <c r="J121" s="397"/>
      <c r="K121" s="398"/>
    </row>
    <row r="122" spans="1:11" ht="24">
      <c r="A122" s="286" t="s">
        <v>260</v>
      </c>
      <c r="B122" s="394" t="s">
        <v>170</v>
      </c>
      <c r="C122" s="395"/>
      <c r="D122" s="286" t="s">
        <v>331</v>
      </c>
      <c r="E122" s="286" t="s">
        <v>332</v>
      </c>
      <c r="F122" s="286" t="s">
        <v>327</v>
      </c>
      <c r="G122" s="286" t="s">
        <v>328</v>
      </c>
      <c r="H122" s="286" t="s">
        <v>173</v>
      </c>
      <c r="I122" s="396">
        <v>4500</v>
      </c>
      <c r="J122" s="397"/>
      <c r="K122" s="398"/>
    </row>
    <row r="123" spans="1:11">
      <c r="A123" s="286" t="s">
        <v>260</v>
      </c>
      <c r="B123" s="394" t="s">
        <v>170</v>
      </c>
      <c r="C123" s="395"/>
      <c r="D123" s="286" t="s">
        <v>331</v>
      </c>
      <c r="E123" s="286" t="s">
        <v>332</v>
      </c>
      <c r="F123" s="286" t="s">
        <v>275</v>
      </c>
      <c r="G123" s="286" t="s">
        <v>276</v>
      </c>
      <c r="H123" s="286" t="s">
        <v>173</v>
      </c>
      <c r="I123" s="396">
        <v>8787.7999999999993</v>
      </c>
      <c r="J123" s="397"/>
      <c r="K123" s="398"/>
    </row>
    <row r="124" spans="1:11">
      <c r="A124" s="286" t="s">
        <v>260</v>
      </c>
      <c r="B124" s="394" t="s">
        <v>170</v>
      </c>
      <c r="C124" s="395"/>
      <c r="D124" s="286" t="s">
        <v>331</v>
      </c>
      <c r="E124" s="286" t="s">
        <v>332</v>
      </c>
      <c r="F124" s="286" t="s">
        <v>277</v>
      </c>
      <c r="G124" s="286" t="s">
        <v>278</v>
      </c>
      <c r="H124" s="286" t="s">
        <v>173</v>
      </c>
      <c r="I124" s="396">
        <v>29906.15</v>
      </c>
      <c r="J124" s="397"/>
      <c r="K124" s="398"/>
    </row>
    <row r="125" spans="1:11">
      <c r="A125" s="286" t="s">
        <v>260</v>
      </c>
      <c r="B125" s="394" t="s">
        <v>170</v>
      </c>
      <c r="C125" s="395"/>
      <c r="D125" s="286" t="s">
        <v>331</v>
      </c>
      <c r="E125" s="286" t="s">
        <v>332</v>
      </c>
      <c r="F125" s="286" t="s">
        <v>279</v>
      </c>
      <c r="G125" s="286" t="s">
        <v>280</v>
      </c>
      <c r="H125" s="286" t="s">
        <v>173</v>
      </c>
      <c r="I125" s="396">
        <v>30455.39</v>
      </c>
      <c r="J125" s="397"/>
      <c r="K125" s="398"/>
    </row>
    <row r="126" spans="1:11">
      <c r="A126" s="286" t="s">
        <v>260</v>
      </c>
      <c r="B126" s="394" t="s">
        <v>170</v>
      </c>
      <c r="C126" s="395"/>
      <c r="D126" s="286" t="s">
        <v>331</v>
      </c>
      <c r="E126" s="286" t="s">
        <v>332</v>
      </c>
      <c r="F126" s="286" t="s">
        <v>281</v>
      </c>
      <c r="G126" s="286" t="s">
        <v>282</v>
      </c>
      <c r="H126" s="286" t="s">
        <v>173</v>
      </c>
      <c r="I126" s="396">
        <v>18344.93</v>
      </c>
      <c r="J126" s="397"/>
      <c r="K126" s="398"/>
    </row>
    <row r="127" spans="1:11" ht="24">
      <c r="A127" s="286" t="s">
        <v>260</v>
      </c>
      <c r="B127" s="394" t="s">
        <v>170</v>
      </c>
      <c r="C127" s="395"/>
      <c r="D127" s="286" t="s">
        <v>331</v>
      </c>
      <c r="E127" s="286" t="s">
        <v>332</v>
      </c>
      <c r="F127" s="286" t="s">
        <v>285</v>
      </c>
      <c r="G127" s="286" t="s">
        <v>286</v>
      </c>
      <c r="H127" s="286" t="s">
        <v>173</v>
      </c>
      <c r="I127" s="396">
        <v>2973.85</v>
      </c>
      <c r="J127" s="397"/>
      <c r="K127" s="398"/>
    </row>
    <row r="128" spans="1:11" ht="24">
      <c r="A128" s="286" t="s">
        <v>260</v>
      </c>
      <c r="B128" s="394" t="s">
        <v>170</v>
      </c>
      <c r="C128" s="395"/>
      <c r="D128" s="286" t="s">
        <v>331</v>
      </c>
      <c r="E128" s="286" t="s">
        <v>332</v>
      </c>
      <c r="F128" s="286" t="s">
        <v>329</v>
      </c>
      <c r="G128" s="286" t="s">
        <v>330</v>
      </c>
      <c r="H128" s="286" t="s">
        <v>173</v>
      </c>
      <c r="I128" s="396">
        <v>4082</v>
      </c>
      <c r="J128" s="397"/>
      <c r="K128" s="398"/>
    </row>
    <row r="129" spans="1:11" ht="24">
      <c r="A129" s="286" t="s">
        <v>260</v>
      </c>
      <c r="B129" s="394" t="s">
        <v>170</v>
      </c>
      <c r="C129" s="395"/>
      <c r="D129" s="286" t="s">
        <v>331</v>
      </c>
      <c r="E129" s="286" t="s">
        <v>332</v>
      </c>
      <c r="F129" s="286" t="s">
        <v>287</v>
      </c>
      <c r="G129" s="286" t="s">
        <v>288</v>
      </c>
      <c r="H129" s="286" t="s">
        <v>173</v>
      </c>
      <c r="I129" s="396">
        <v>165316.69</v>
      </c>
      <c r="J129" s="397"/>
      <c r="K129" s="398"/>
    </row>
    <row r="130" spans="1:11" ht="24">
      <c r="A130" s="286" t="s">
        <v>260</v>
      </c>
      <c r="B130" s="394" t="s">
        <v>170</v>
      </c>
      <c r="C130" s="395"/>
      <c r="D130" s="286" t="s">
        <v>333</v>
      </c>
      <c r="E130" s="286" t="s">
        <v>334</v>
      </c>
      <c r="F130" s="286" t="s">
        <v>327</v>
      </c>
      <c r="G130" s="286" t="s">
        <v>328</v>
      </c>
      <c r="H130" s="286" t="s">
        <v>173</v>
      </c>
      <c r="I130" s="396">
        <v>65444</v>
      </c>
      <c r="J130" s="397"/>
      <c r="K130" s="398"/>
    </row>
    <row r="131" spans="1:11">
      <c r="A131" s="286" t="s">
        <v>260</v>
      </c>
      <c r="B131" s="394" t="s">
        <v>170</v>
      </c>
      <c r="C131" s="395"/>
      <c r="D131" s="286" t="s">
        <v>333</v>
      </c>
      <c r="E131" s="286" t="s">
        <v>334</v>
      </c>
      <c r="F131" s="286" t="s">
        <v>275</v>
      </c>
      <c r="G131" s="286" t="s">
        <v>276</v>
      </c>
      <c r="H131" s="286" t="s">
        <v>173</v>
      </c>
      <c r="I131" s="396">
        <v>5250.67</v>
      </c>
      <c r="J131" s="397"/>
      <c r="K131" s="398"/>
    </row>
    <row r="132" spans="1:11">
      <c r="A132" s="286" t="s">
        <v>260</v>
      </c>
      <c r="B132" s="394" t="s">
        <v>170</v>
      </c>
      <c r="C132" s="395"/>
      <c r="D132" s="286" t="s">
        <v>333</v>
      </c>
      <c r="E132" s="286" t="s">
        <v>334</v>
      </c>
      <c r="F132" s="286" t="s">
        <v>277</v>
      </c>
      <c r="G132" s="286" t="s">
        <v>278</v>
      </c>
      <c r="H132" s="286" t="s">
        <v>173</v>
      </c>
      <c r="I132" s="396">
        <v>5396.83</v>
      </c>
      <c r="J132" s="397"/>
      <c r="K132" s="398"/>
    </row>
    <row r="133" spans="1:11">
      <c r="A133" s="286" t="s">
        <v>260</v>
      </c>
      <c r="B133" s="394" t="s">
        <v>170</v>
      </c>
      <c r="C133" s="395"/>
      <c r="D133" s="286" t="s">
        <v>333</v>
      </c>
      <c r="E133" s="286" t="s">
        <v>334</v>
      </c>
      <c r="F133" s="286" t="s">
        <v>279</v>
      </c>
      <c r="G133" s="286" t="s">
        <v>280</v>
      </c>
      <c r="H133" s="286" t="s">
        <v>173</v>
      </c>
      <c r="I133" s="396">
        <v>78509.78</v>
      </c>
      <c r="J133" s="397"/>
      <c r="K133" s="398"/>
    </row>
    <row r="134" spans="1:11">
      <c r="A134" s="286" t="s">
        <v>260</v>
      </c>
      <c r="B134" s="394" t="s">
        <v>170</v>
      </c>
      <c r="C134" s="395"/>
      <c r="D134" s="286" t="s">
        <v>333</v>
      </c>
      <c r="E134" s="286" t="s">
        <v>334</v>
      </c>
      <c r="F134" s="286" t="s">
        <v>281</v>
      </c>
      <c r="G134" s="286" t="s">
        <v>282</v>
      </c>
      <c r="H134" s="286" t="s">
        <v>173</v>
      </c>
      <c r="I134" s="396">
        <v>15557.27</v>
      </c>
      <c r="J134" s="397"/>
      <c r="K134" s="398"/>
    </row>
    <row r="135" spans="1:11" ht="24">
      <c r="A135" s="286" t="s">
        <v>260</v>
      </c>
      <c r="B135" s="394" t="s">
        <v>170</v>
      </c>
      <c r="C135" s="395"/>
      <c r="D135" s="286" t="s">
        <v>333</v>
      </c>
      <c r="E135" s="286" t="s">
        <v>334</v>
      </c>
      <c r="F135" s="286" t="s">
        <v>285</v>
      </c>
      <c r="G135" s="286" t="s">
        <v>286</v>
      </c>
      <c r="H135" s="286" t="s">
        <v>173</v>
      </c>
      <c r="I135" s="396">
        <v>7105.69</v>
      </c>
      <c r="J135" s="397"/>
      <c r="K135" s="398"/>
    </row>
    <row r="136" spans="1:11" ht="24">
      <c r="A136" s="286" t="s">
        <v>260</v>
      </c>
      <c r="B136" s="394" t="s">
        <v>170</v>
      </c>
      <c r="C136" s="395"/>
      <c r="D136" s="286" t="s">
        <v>333</v>
      </c>
      <c r="E136" s="286" t="s">
        <v>334</v>
      </c>
      <c r="F136" s="286" t="s">
        <v>329</v>
      </c>
      <c r="G136" s="286" t="s">
        <v>330</v>
      </c>
      <c r="H136" s="286" t="s">
        <v>173</v>
      </c>
      <c r="I136" s="396">
        <v>3611</v>
      </c>
      <c r="J136" s="397"/>
      <c r="K136" s="398"/>
    </row>
    <row r="137" spans="1:11" ht="24">
      <c r="A137" s="286" t="s">
        <v>260</v>
      </c>
      <c r="B137" s="394" t="s">
        <v>170</v>
      </c>
      <c r="C137" s="395"/>
      <c r="D137" s="286" t="s">
        <v>333</v>
      </c>
      <c r="E137" s="286" t="s">
        <v>334</v>
      </c>
      <c r="F137" s="286" t="s">
        <v>287</v>
      </c>
      <c r="G137" s="286" t="s">
        <v>288</v>
      </c>
      <c r="H137" s="286" t="s">
        <v>173</v>
      </c>
      <c r="I137" s="396">
        <v>199858.85</v>
      </c>
      <c r="J137" s="397"/>
      <c r="K137" s="398"/>
    </row>
    <row r="138" spans="1:11">
      <c r="A138" s="286" t="s">
        <v>260</v>
      </c>
      <c r="B138" s="394" t="s">
        <v>170</v>
      </c>
      <c r="C138" s="395"/>
      <c r="D138" s="286" t="s">
        <v>333</v>
      </c>
      <c r="E138" s="286" t="s">
        <v>334</v>
      </c>
      <c r="F138" s="286" t="s">
        <v>289</v>
      </c>
      <c r="G138" s="286" t="s">
        <v>290</v>
      </c>
      <c r="H138" s="286" t="s">
        <v>173</v>
      </c>
      <c r="I138" s="396">
        <v>39999.69</v>
      </c>
      <c r="J138" s="397"/>
      <c r="K138" s="398"/>
    </row>
    <row r="139" spans="1:11">
      <c r="A139" s="286" t="s">
        <v>260</v>
      </c>
      <c r="B139" s="394" t="s">
        <v>170</v>
      </c>
      <c r="C139" s="395"/>
      <c r="D139" s="286" t="s">
        <v>333</v>
      </c>
      <c r="E139" s="286" t="s">
        <v>334</v>
      </c>
      <c r="F139" s="286" t="s">
        <v>293</v>
      </c>
      <c r="G139" s="286" t="s">
        <v>294</v>
      </c>
      <c r="H139" s="286" t="s">
        <v>173</v>
      </c>
      <c r="I139" s="396">
        <v>3170.25</v>
      </c>
      <c r="J139" s="397"/>
      <c r="K139" s="398"/>
    </row>
    <row r="140" spans="1:11">
      <c r="A140" s="286" t="s">
        <v>260</v>
      </c>
      <c r="B140" s="394" t="s">
        <v>170</v>
      </c>
      <c r="C140" s="395"/>
      <c r="D140" s="286" t="s">
        <v>333</v>
      </c>
      <c r="E140" s="286" t="s">
        <v>334</v>
      </c>
      <c r="F140" s="286" t="s">
        <v>335</v>
      </c>
      <c r="G140" s="286" t="s">
        <v>336</v>
      </c>
      <c r="H140" s="286" t="s">
        <v>173</v>
      </c>
      <c r="I140" s="396">
        <v>2521</v>
      </c>
      <c r="J140" s="397"/>
      <c r="K140" s="398"/>
    </row>
    <row r="141" spans="1:11">
      <c r="A141" s="286" t="s">
        <v>260</v>
      </c>
      <c r="B141" s="394" t="s">
        <v>170</v>
      </c>
      <c r="C141" s="395"/>
      <c r="D141" s="286" t="s">
        <v>333</v>
      </c>
      <c r="E141" s="286" t="s">
        <v>334</v>
      </c>
      <c r="F141" s="286" t="s">
        <v>295</v>
      </c>
      <c r="G141" s="286" t="s">
        <v>296</v>
      </c>
      <c r="H141" s="286" t="s">
        <v>173</v>
      </c>
      <c r="I141" s="396">
        <v>14145</v>
      </c>
      <c r="J141" s="397"/>
      <c r="K141" s="398"/>
    </row>
    <row r="142" spans="1:11">
      <c r="A142" s="286" t="s">
        <v>260</v>
      </c>
      <c r="B142" s="394" t="s">
        <v>170</v>
      </c>
      <c r="C142" s="395"/>
      <c r="D142" s="286" t="s">
        <v>333</v>
      </c>
      <c r="E142" s="286" t="s">
        <v>334</v>
      </c>
      <c r="F142" s="286" t="s">
        <v>301</v>
      </c>
      <c r="G142" s="286" t="s">
        <v>302</v>
      </c>
      <c r="H142" s="286" t="s">
        <v>173</v>
      </c>
      <c r="I142" s="396">
        <v>6132</v>
      </c>
      <c r="J142" s="397"/>
      <c r="K142" s="398"/>
    </row>
    <row r="143" spans="1:11">
      <c r="A143" s="286" t="s">
        <v>260</v>
      </c>
      <c r="B143" s="394" t="s">
        <v>170</v>
      </c>
      <c r="C143" s="395"/>
      <c r="D143" s="286" t="s">
        <v>333</v>
      </c>
      <c r="E143" s="286" t="s">
        <v>334</v>
      </c>
      <c r="F143" s="286" t="s">
        <v>337</v>
      </c>
      <c r="G143" s="286" t="s">
        <v>338</v>
      </c>
      <c r="H143" s="286" t="s">
        <v>173</v>
      </c>
      <c r="I143" s="396">
        <v>97404.33</v>
      </c>
      <c r="J143" s="397"/>
      <c r="K143" s="398"/>
    </row>
    <row r="144" spans="1:11" ht="24">
      <c r="A144" s="286" t="s">
        <v>260</v>
      </c>
      <c r="B144" s="394" t="s">
        <v>170</v>
      </c>
      <c r="C144" s="395"/>
      <c r="D144" s="286" t="s">
        <v>339</v>
      </c>
      <c r="E144" s="286" t="s">
        <v>340</v>
      </c>
      <c r="F144" s="286" t="s">
        <v>327</v>
      </c>
      <c r="G144" s="286" t="s">
        <v>328</v>
      </c>
      <c r="H144" s="286" t="s">
        <v>173</v>
      </c>
      <c r="I144" s="396">
        <v>48257</v>
      </c>
      <c r="J144" s="397"/>
      <c r="K144" s="398"/>
    </row>
    <row r="145" spans="1:11">
      <c r="A145" s="286" t="s">
        <v>260</v>
      </c>
      <c r="B145" s="394" t="s">
        <v>170</v>
      </c>
      <c r="C145" s="395"/>
      <c r="D145" s="286" t="s">
        <v>339</v>
      </c>
      <c r="E145" s="286" t="s">
        <v>340</v>
      </c>
      <c r="F145" s="286" t="s">
        <v>275</v>
      </c>
      <c r="G145" s="286" t="s">
        <v>276</v>
      </c>
      <c r="H145" s="286" t="s">
        <v>173</v>
      </c>
      <c r="I145" s="396">
        <v>2844.22</v>
      </c>
      <c r="J145" s="397"/>
      <c r="K145" s="398"/>
    </row>
    <row r="146" spans="1:11">
      <c r="A146" s="286" t="s">
        <v>260</v>
      </c>
      <c r="B146" s="394" t="s">
        <v>170</v>
      </c>
      <c r="C146" s="395"/>
      <c r="D146" s="286" t="s">
        <v>339</v>
      </c>
      <c r="E146" s="286" t="s">
        <v>340</v>
      </c>
      <c r="F146" s="286" t="s">
        <v>277</v>
      </c>
      <c r="G146" s="286" t="s">
        <v>278</v>
      </c>
      <c r="H146" s="286" t="s">
        <v>173</v>
      </c>
      <c r="I146" s="396">
        <v>3453.03</v>
      </c>
      <c r="J146" s="397"/>
      <c r="K146" s="398"/>
    </row>
    <row r="147" spans="1:11">
      <c r="A147" s="286" t="s">
        <v>260</v>
      </c>
      <c r="B147" s="394" t="s">
        <v>170</v>
      </c>
      <c r="C147" s="395"/>
      <c r="D147" s="286" t="s">
        <v>339</v>
      </c>
      <c r="E147" s="286" t="s">
        <v>340</v>
      </c>
      <c r="F147" s="286" t="s">
        <v>279</v>
      </c>
      <c r="G147" s="286" t="s">
        <v>280</v>
      </c>
      <c r="H147" s="286" t="s">
        <v>173</v>
      </c>
      <c r="I147" s="396">
        <v>66447.53</v>
      </c>
      <c r="J147" s="397"/>
      <c r="K147" s="398"/>
    </row>
    <row r="148" spans="1:11">
      <c r="A148" s="286" t="s">
        <v>260</v>
      </c>
      <c r="B148" s="394" t="s">
        <v>170</v>
      </c>
      <c r="C148" s="395"/>
      <c r="D148" s="286" t="s">
        <v>339</v>
      </c>
      <c r="E148" s="286" t="s">
        <v>340</v>
      </c>
      <c r="F148" s="286" t="s">
        <v>281</v>
      </c>
      <c r="G148" s="286" t="s">
        <v>282</v>
      </c>
      <c r="H148" s="286" t="s">
        <v>173</v>
      </c>
      <c r="I148" s="396">
        <v>10977.28</v>
      </c>
      <c r="J148" s="397"/>
      <c r="K148" s="398"/>
    </row>
    <row r="149" spans="1:11" ht="24">
      <c r="A149" s="286" t="s">
        <v>260</v>
      </c>
      <c r="B149" s="394" t="s">
        <v>170</v>
      </c>
      <c r="C149" s="395"/>
      <c r="D149" s="286" t="s">
        <v>339</v>
      </c>
      <c r="E149" s="286" t="s">
        <v>340</v>
      </c>
      <c r="F149" s="286" t="s">
        <v>285</v>
      </c>
      <c r="G149" s="286" t="s">
        <v>286</v>
      </c>
      <c r="H149" s="286" t="s">
        <v>173</v>
      </c>
      <c r="I149" s="396">
        <v>2181.31</v>
      </c>
      <c r="J149" s="397"/>
      <c r="K149" s="398"/>
    </row>
    <row r="150" spans="1:11" ht="24">
      <c r="A150" s="286" t="s">
        <v>260</v>
      </c>
      <c r="B150" s="394" t="s">
        <v>170</v>
      </c>
      <c r="C150" s="395"/>
      <c r="D150" s="286" t="s">
        <v>339</v>
      </c>
      <c r="E150" s="286" t="s">
        <v>340</v>
      </c>
      <c r="F150" s="286" t="s">
        <v>329</v>
      </c>
      <c r="G150" s="286" t="s">
        <v>330</v>
      </c>
      <c r="H150" s="286" t="s">
        <v>173</v>
      </c>
      <c r="I150" s="396">
        <v>5962.94</v>
      </c>
      <c r="J150" s="397"/>
      <c r="K150" s="398"/>
    </row>
    <row r="151" spans="1:11" ht="24">
      <c r="A151" s="286" t="s">
        <v>260</v>
      </c>
      <c r="B151" s="394" t="s">
        <v>170</v>
      </c>
      <c r="C151" s="395"/>
      <c r="D151" s="286" t="s">
        <v>339</v>
      </c>
      <c r="E151" s="286" t="s">
        <v>340</v>
      </c>
      <c r="F151" s="286" t="s">
        <v>287</v>
      </c>
      <c r="G151" s="286" t="s">
        <v>288</v>
      </c>
      <c r="H151" s="286" t="s">
        <v>173</v>
      </c>
      <c r="I151" s="396">
        <v>107215.95</v>
      </c>
      <c r="J151" s="397"/>
      <c r="K151" s="398"/>
    </row>
    <row r="152" spans="1:11">
      <c r="A152" s="286" t="s">
        <v>260</v>
      </c>
      <c r="B152" s="394" t="s">
        <v>170</v>
      </c>
      <c r="C152" s="395"/>
      <c r="D152" s="286" t="s">
        <v>339</v>
      </c>
      <c r="E152" s="286" t="s">
        <v>340</v>
      </c>
      <c r="F152" s="286" t="s">
        <v>291</v>
      </c>
      <c r="G152" s="286" t="s">
        <v>292</v>
      </c>
      <c r="H152" s="286" t="s">
        <v>173</v>
      </c>
      <c r="I152" s="396">
        <v>7668.89</v>
      </c>
      <c r="J152" s="397"/>
      <c r="K152" s="398"/>
    </row>
    <row r="153" spans="1:11">
      <c r="A153" s="286" t="s">
        <v>260</v>
      </c>
      <c r="B153" s="394" t="s">
        <v>170</v>
      </c>
      <c r="C153" s="395"/>
      <c r="D153" s="286" t="s">
        <v>339</v>
      </c>
      <c r="E153" s="286" t="s">
        <v>340</v>
      </c>
      <c r="F153" s="286" t="s">
        <v>293</v>
      </c>
      <c r="G153" s="286" t="s">
        <v>294</v>
      </c>
      <c r="H153" s="286" t="s">
        <v>173</v>
      </c>
      <c r="I153" s="396">
        <v>3149.83</v>
      </c>
      <c r="J153" s="397"/>
      <c r="K153" s="398"/>
    </row>
    <row r="154" spans="1:11">
      <c r="A154" s="286" t="s">
        <v>260</v>
      </c>
      <c r="B154" s="394" t="s">
        <v>170</v>
      </c>
      <c r="C154" s="395"/>
      <c r="D154" s="286" t="s">
        <v>339</v>
      </c>
      <c r="E154" s="286" t="s">
        <v>340</v>
      </c>
      <c r="F154" s="286" t="s">
        <v>442</v>
      </c>
      <c r="G154" s="286" t="s">
        <v>443</v>
      </c>
      <c r="H154" s="286" t="s">
        <v>173</v>
      </c>
      <c r="I154" s="396">
        <v>6950</v>
      </c>
      <c r="J154" s="397"/>
      <c r="K154" s="398"/>
    </row>
    <row r="155" spans="1:11">
      <c r="A155" s="286" t="s">
        <v>260</v>
      </c>
      <c r="B155" s="394" t="s">
        <v>170</v>
      </c>
      <c r="C155" s="395"/>
      <c r="D155" s="286" t="s">
        <v>339</v>
      </c>
      <c r="E155" s="286" t="s">
        <v>340</v>
      </c>
      <c r="F155" s="286" t="s">
        <v>335</v>
      </c>
      <c r="G155" s="286" t="s">
        <v>336</v>
      </c>
      <c r="H155" s="286" t="s">
        <v>173</v>
      </c>
      <c r="I155" s="396">
        <v>2462</v>
      </c>
      <c r="J155" s="397"/>
      <c r="K155" s="398"/>
    </row>
    <row r="156" spans="1:11">
      <c r="A156" s="286" t="s">
        <v>260</v>
      </c>
      <c r="B156" s="394" t="s">
        <v>170</v>
      </c>
      <c r="C156" s="395"/>
      <c r="D156" s="286" t="s">
        <v>339</v>
      </c>
      <c r="E156" s="286" t="s">
        <v>340</v>
      </c>
      <c r="F156" s="286" t="s">
        <v>301</v>
      </c>
      <c r="G156" s="286" t="s">
        <v>302</v>
      </c>
      <c r="H156" s="286" t="s">
        <v>173</v>
      </c>
      <c r="I156" s="396">
        <v>39718.660000000003</v>
      </c>
      <c r="J156" s="397"/>
      <c r="K156" s="398"/>
    </row>
    <row r="157" spans="1:11" ht="24">
      <c r="A157" s="286" t="s">
        <v>260</v>
      </c>
      <c r="B157" s="394" t="s">
        <v>170</v>
      </c>
      <c r="C157" s="395"/>
      <c r="D157" s="286" t="s">
        <v>343</v>
      </c>
      <c r="E157" s="286" t="s">
        <v>344</v>
      </c>
      <c r="F157" s="286" t="s">
        <v>327</v>
      </c>
      <c r="G157" s="286" t="s">
        <v>328</v>
      </c>
      <c r="H157" s="286" t="s">
        <v>173</v>
      </c>
      <c r="I157" s="396">
        <v>9744.73</v>
      </c>
      <c r="J157" s="397"/>
      <c r="K157" s="398"/>
    </row>
    <row r="158" spans="1:11">
      <c r="A158" s="286" t="s">
        <v>260</v>
      </c>
      <c r="B158" s="394" t="s">
        <v>170</v>
      </c>
      <c r="C158" s="395"/>
      <c r="D158" s="286" t="s">
        <v>343</v>
      </c>
      <c r="E158" s="286" t="s">
        <v>344</v>
      </c>
      <c r="F158" s="286" t="s">
        <v>269</v>
      </c>
      <c r="G158" s="286" t="s">
        <v>270</v>
      </c>
      <c r="H158" s="286" t="s">
        <v>173</v>
      </c>
      <c r="I158" s="396">
        <v>29921</v>
      </c>
      <c r="J158" s="397"/>
      <c r="K158" s="398"/>
    </row>
    <row r="159" spans="1:11">
      <c r="A159" s="286" t="s">
        <v>260</v>
      </c>
      <c r="B159" s="394" t="s">
        <v>170</v>
      </c>
      <c r="C159" s="395"/>
      <c r="D159" s="286" t="s">
        <v>343</v>
      </c>
      <c r="E159" s="286" t="s">
        <v>344</v>
      </c>
      <c r="F159" s="286" t="s">
        <v>271</v>
      </c>
      <c r="G159" s="286" t="s">
        <v>272</v>
      </c>
      <c r="H159" s="286" t="s">
        <v>173</v>
      </c>
      <c r="I159" s="396">
        <v>12800</v>
      </c>
      <c r="J159" s="397"/>
      <c r="K159" s="398"/>
    </row>
    <row r="160" spans="1:11">
      <c r="A160" s="286" t="s">
        <v>260</v>
      </c>
      <c r="B160" s="394" t="s">
        <v>170</v>
      </c>
      <c r="C160" s="395"/>
      <c r="D160" s="286" t="s">
        <v>343</v>
      </c>
      <c r="E160" s="286" t="s">
        <v>344</v>
      </c>
      <c r="F160" s="286" t="s">
        <v>273</v>
      </c>
      <c r="G160" s="286" t="s">
        <v>274</v>
      </c>
      <c r="H160" s="286" t="s">
        <v>173</v>
      </c>
      <c r="I160" s="396">
        <v>674</v>
      </c>
      <c r="J160" s="397"/>
      <c r="K160" s="398"/>
    </row>
    <row r="161" spans="1:11">
      <c r="A161" s="286" t="s">
        <v>260</v>
      </c>
      <c r="B161" s="394" t="s">
        <v>170</v>
      </c>
      <c r="C161" s="395"/>
      <c r="D161" s="286" t="s">
        <v>343</v>
      </c>
      <c r="E161" s="286" t="s">
        <v>344</v>
      </c>
      <c r="F161" s="286" t="s">
        <v>275</v>
      </c>
      <c r="G161" s="286" t="s">
        <v>276</v>
      </c>
      <c r="H161" s="286" t="s">
        <v>173</v>
      </c>
      <c r="I161" s="396">
        <v>1118.52</v>
      </c>
      <c r="J161" s="397"/>
      <c r="K161" s="398"/>
    </row>
    <row r="162" spans="1:11">
      <c r="A162" s="286" t="s">
        <v>260</v>
      </c>
      <c r="B162" s="394" t="s">
        <v>170</v>
      </c>
      <c r="C162" s="395"/>
      <c r="D162" s="286" t="s">
        <v>343</v>
      </c>
      <c r="E162" s="286" t="s">
        <v>344</v>
      </c>
      <c r="F162" s="286" t="s">
        <v>277</v>
      </c>
      <c r="G162" s="286" t="s">
        <v>278</v>
      </c>
      <c r="H162" s="286" t="s">
        <v>173</v>
      </c>
      <c r="I162" s="396">
        <v>3748.61</v>
      </c>
      <c r="J162" s="397"/>
      <c r="K162" s="398"/>
    </row>
    <row r="163" spans="1:11">
      <c r="A163" s="286" t="s">
        <v>260</v>
      </c>
      <c r="B163" s="394" t="s">
        <v>170</v>
      </c>
      <c r="C163" s="395"/>
      <c r="D163" s="286" t="s">
        <v>343</v>
      </c>
      <c r="E163" s="286" t="s">
        <v>344</v>
      </c>
      <c r="F163" s="286" t="s">
        <v>279</v>
      </c>
      <c r="G163" s="286" t="s">
        <v>280</v>
      </c>
      <c r="H163" s="286" t="s">
        <v>173</v>
      </c>
      <c r="I163" s="396">
        <v>19466.490000000002</v>
      </c>
      <c r="J163" s="397"/>
      <c r="K163" s="398"/>
    </row>
    <row r="164" spans="1:11">
      <c r="A164" s="286" t="s">
        <v>260</v>
      </c>
      <c r="B164" s="394" t="s">
        <v>170</v>
      </c>
      <c r="C164" s="395"/>
      <c r="D164" s="286" t="s">
        <v>343</v>
      </c>
      <c r="E164" s="286" t="s">
        <v>344</v>
      </c>
      <c r="F164" s="286" t="s">
        <v>281</v>
      </c>
      <c r="G164" s="286" t="s">
        <v>282</v>
      </c>
      <c r="H164" s="286" t="s">
        <v>173</v>
      </c>
      <c r="I164" s="396">
        <v>7922.59</v>
      </c>
      <c r="J164" s="397"/>
      <c r="K164" s="398"/>
    </row>
    <row r="165" spans="1:11" ht="24">
      <c r="A165" s="286" t="s">
        <v>260</v>
      </c>
      <c r="B165" s="394" t="s">
        <v>170</v>
      </c>
      <c r="C165" s="395"/>
      <c r="D165" s="286" t="s">
        <v>343</v>
      </c>
      <c r="E165" s="286" t="s">
        <v>344</v>
      </c>
      <c r="F165" s="286" t="s">
        <v>285</v>
      </c>
      <c r="G165" s="286" t="s">
        <v>286</v>
      </c>
      <c r="H165" s="286" t="s">
        <v>173</v>
      </c>
      <c r="I165" s="396">
        <v>2263.2800000000002</v>
      </c>
      <c r="J165" s="397"/>
      <c r="K165" s="398"/>
    </row>
    <row r="166" spans="1:11" ht="24">
      <c r="A166" s="286" t="s">
        <v>260</v>
      </c>
      <c r="B166" s="394" t="s">
        <v>170</v>
      </c>
      <c r="C166" s="395"/>
      <c r="D166" s="286" t="s">
        <v>343</v>
      </c>
      <c r="E166" s="286" t="s">
        <v>344</v>
      </c>
      <c r="F166" s="286" t="s">
        <v>287</v>
      </c>
      <c r="G166" s="286" t="s">
        <v>288</v>
      </c>
      <c r="H166" s="286" t="s">
        <v>173</v>
      </c>
      <c r="I166" s="396">
        <v>47308.85</v>
      </c>
      <c r="J166" s="397"/>
      <c r="K166" s="398"/>
    </row>
    <row r="167" spans="1:11">
      <c r="A167" s="286" t="s">
        <v>260</v>
      </c>
      <c r="B167" s="394" t="s">
        <v>170</v>
      </c>
      <c r="C167" s="395"/>
      <c r="D167" s="286" t="s">
        <v>343</v>
      </c>
      <c r="E167" s="286" t="s">
        <v>344</v>
      </c>
      <c r="F167" s="286" t="s">
        <v>345</v>
      </c>
      <c r="G167" s="286" t="s">
        <v>346</v>
      </c>
      <c r="H167" s="286" t="s">
        <v>173</v>
      </c>
      <c r="I167" s="396">
        <v>54170.21</v>
      </c>
      <c r="J167" s="397"/>
      <c r="K167" s="398"/>
    </row>
    <row r="168" spans="1:11">
      <c r="A168" s="286" t="s">
        <v>260</v>
      </c>
      <c r="B168" s="394" t="s">
        <v>170</v>
      </c>
      <c r="C168" s="395"/>
      <c r="D168" s="286" t="s">
        <v>343</v>
      </c>
      <c r="E168" s="286" t="s">
        <v>344</v>
      </c>
      <c r="F168" s="286" t="s">
        <v>321</v>
      </c>
      <c r="G168" s="286" t="s">
        <v>322</v>
      </c>
      <c r="H168" s="286" t="s">
        <v>173</v>
      </c>
      <c r="I168" s="396">
        <v>999.6</v>
      </c>
      <c r="J168" s="397"/>
      <c r="K168" s="398"/>
    </row>
    <row r="169" spans="1:11">
      <c r="A169" s="286" t="s">
        <v>260</v>
      </c>
      <c r="B169" s="394" t="s">
        <v>170</v>
      </c>
      <c r="C169" s="395"/>
      <c r="D169" s="286" t="s">
        <v>343</v>
      </c>
      <c r="E169" s="286" t="s">
        <v>344</v>
      </c>
      <c r="F169" s="286" t="s">
        <v>446</v>
      </c>
      <c r="G169" s="286" t="s">
        <v>447</v>
      </c>
      <c r="H169" s="286" t="s">
        <v>173</v>
      </c>
      <c r="I169" s="396">
        <v>2088.4499999999998</v>
      </c>
      <c r="J169" s="397"/>
      <c r="K169" s="398"/>
    </row>
    <row r="170" spans="1:11">
      <c r="A170" s="286" t="s">
        <v>260</v>
      </c>
      <c r="B170" s="394" t="s">
        <v>170</v>
      </c>
      <c r="C170" s="395"/>
      <c r="D170" s="286" t="s">
        <v>343</v>
      </c>
      <c r="E170" s="286" t="s">
        <v>344</v>
      </c>
      <c r="F170" s="286" t="s">
        <v>291</v>
      </c>
      <c r="G170" s="286" t="s">
        <v>292</v>
      </c>
      <c r="H170" s="286" t="s">
        <v>173</v>
      </c>
      <c r="I170" s="396">
        <v>19459.080000000002</v>
      </c>
      <c r="J170" s="397"/>
      <c r="K170" s="398"/>
    </row>
    <row r="171" spans="1:11">
      <c r="A171" s="286" t="s">
        <v>260</v>
      </c>
      <c r="B171" s="394" t="s">
        <v>170</v>
      </c>
      <c r="C171" s="395"/>
      <c r="D171" s="286" t="s">
        <v>343</v>
      </c>
      <c r="E171" s="286" t="s">
        <v>344</v>
      </c>
      <c r="F171" s="286" t="s">
        <v>293</v>
      </c>
      <c r="G171" s="286" t="s">
        <v>294</v>
      </c>
      <c r="H171" s="286" t="s">
        <v>173</v>
      </c>
      <c r="I171" s="396">
        <v>21.12</v>
      </c>
      <c r="J171" s="397"/>
      <c r="K171" s="398"/>
    </row>
    <row r="172" spans="1:11">
      <c r="A172" s="286" t="s">
        <v>260</v>
      </c>
      <c r="B172" s="394" t="s">
        <v>170</v>
      </c>
      <c r="C172" s="395"/>
      <c r="D172" s="286" t="s">
        <v>343</v>
      </c>
      <c r="E172" s="286" t="s">
        <v>344</v>
      </c>
      <c r="F172" s="286" t="s">
        <v>393</v>
      </c>
      <c r="G172" s="286" t="s">
        <v>394</v>
      </c>
      <c r="H172" s="286" t="s">
        <v>226</v>
      </c>
      <c r="I172" s="396">
        <v>207791.37</v>
      </c>
      <c r="J172" s="397"/>
      <c r="K172" s="398"/>
    </row>
    <row r="173" spans="1:11">
      <c r="A173" s="286" t="s">
        <v>260</v>
      </c>
      <c r="B173" s="394" t="s">
        <v>170</v>
      </c>
      <c r="C173" s="395"/>
      <c r="D173" s="286" t="s">
        <v>343</v>
      </c>
      <c r="E173" s="286" t="s">
        <v>344</v>
      </c>
      <c r="F173" s="286" t="s">
        <v>305</v>
      </c>
      <c r="G173" s="286" t="s">
        <v>306</v>
      </c>
      <c r="H173" s="286" t="s">
        <v>226</v>
      </c>
      <c r="I173" s="396">
        <v>3900</v>
      </c>
      <c r="J173" s="397"/>
      <c r="K173" s="398"/>
    </row>
    <row r="174" spans="1:11" ht="24">
      <c r="A174" s="286" t="s">
        <v>260</v>
      </c>
      <c r="B174" s="394" t="s">
        <v>170</v>
      </c>
      <c r="C174" s="395"/>
      <c r="D174" s="286" t="s">
        <v>347</v>
      </c>
      <c r="E174" s="286" t="s">
        <v>348</v>
      </c>
      <c r="F174" s="286" t="s">
        <v>285</v>
      </c>
      <c r="G174" s="286" t="s">
        <v>286</v>
      </c>
      <c r="H174" s="286" t="s">
        <v>173</v>
      </c>
      <c r="I174" s="396">
        <v>48408.32</v>
      </c>
      <c r="J174" s="397"/>
      <c r="K174" s="398"/>
    </row>
    <row r="175" spans="1:11" ht="36">
      <c r="A175" s="286" t="s">
        <v>260</v>
      </c>
      <c r="B175" s="394" t="s">
        <v>170</v>
      </c>
      <c r="C175" s="395"/>
      <c r="D175" s="286" t="s">
        <v>347</v>
      </c>
      <c r="E175" s="286" t="s">
        <v>348</v>
      </c>
      <c r="F175" s="286" t="s">
        <v>307</v>
      </c>
      <c r="G175" s="286" t="s">
        <v>308</v>
      </c>
      <c r="H175" s="286" t="s">
        <v>173</v>
      </c>
      <c r="I175" s="396">
        <v>-105</v>
      </c>
      <c r="J175" s="397"/>
      <c r="K175" s="398"/>
    </row>
    <row r="176" spans="1:11">
      <c r="A176" s="286" t="s">
        <v>260</v>
      </c>
      <c r="B176" s="394" t="s">
        <v>170</v>
      </c>
      <c r="C176" s="395"/>
      <c r="D176" s="286" t="s">
        <v>349</v>
      </c>
      <c r="E176" s="286" t="s">
        <v>350</v>
      </c>
      <c r="F176" s="286" t="s">
        <v>263</v>
      </c>
      <c r="G176" s="286" t="s">
        <v>264</v>
      </c>
      <c r="H176" s="286" t="s">
        <v>173</v>
      </c>
      <c r="I176" s="396">
        <v>243601</v>
      </c>
      <c r="J176" s="397"/>
      <c r="K176" s="398"/>
    </row>
    <row r="177" spans="1:11">
      <c r="A177" s="286" t="s">
        <v>260</v>
      </c>
      <c r="B177" s="394" t="s">
        <v>170</v>
      </c>
      <c r="C177" s="395"/>
      <c r="D177" s="286" t="s">
        <v>349</v>
      </c>
      <c r="E177" s="286" t="s">
        <v>350</v>
      </c>
      <c r="F177" s="286" t="s">
        <v>351</v>
      </c>
      <c r="G177" s="286" t="s">
        <v>352</v>
      </c>
      <c r="H177" s="286" t="s">
        <v>173</v>
      </c>
      <c r="I177" s="396">
        <v>36119</v>
      </c>
      <c r="J177" s="397"/>
      <c r="K177" s="398"/>
    </row>
    <row r="178" spans="1:11">
      <c r="A178" s="286" t="s">
        <v>260</v>
      </c>
      <c r="B178" s="394" t="s">
        <v>170</v>
      </c>
      <c r="C178" s="395"/>
      <c r="D178" s="286" t="s">
        <v>349</v>
      </c>
      <c r="E178" s="286" t="s">
        <v>350</v>
      </c>
      <c r="F178" s="286" t="s">
        <v>269</v>
      </c>
      <c r="G178" s="286" t="s">
        <v>270</v>
      </c>
      <c r="H178" s="286" t="s">
        <v>173</v>
      </c>
      <c r="I178" s="396">
        <v>12851</v>
      </c>
      <c r="J178" s="397"/>
      <c r="K178" s="398"/>
    </row>
    <row r="179" spans="1:11">
      <c r="A179" s="286" t="s">
        <v>260</v>
      </c>
      <c r="B179" s="394" t="s">
        <v>170</v>
      </c>
      <c r="C179" s="395"/>
      <c r="D179" s="286" t="s">
        <v>349</v>
      </c>
      <c r="E179" s="286" t="s">
        <v>350</v>
      </c>
      <c r="F179" s="286" t="s">
        <v>271</v>
      </c>
      <c r="G179" s="286" t="s">
        <v>272</v>
      </c>
      <c r="H179" s="286" t="s">
        <v>173</v>
      </c>
      <c r="I179" s="396">
        <v>6400</v>
      </c>
      <c r="J179" s="397"/>
      <c r="K179" s="398"/>
    </row>
    <row r="180" spans="1:11">
      <c r="A180" s="286" t="s">
        <v>260</v>
      </c>
      <c r="B180" s="394" t="s">
        <v>170</v>
      </c>
      <c r="C180" s="395"/>
      <c r="D180" s="286" t="s">
        <v>349</v>
      </c>
      <c r="E180" s="286" t="s">
        <v>350</v>
      </c>
      <c r="F180" s="286" t="s">
        <v>273</v>
      </c>
      <c r="G180" s="286" t="s">
        <v>274</v>
      </c>
      <c r="H180" s="286" t="s">
        <v>173</v>
      </c>
      <c r="I180" s="396">
        <v>6585</v>
      </c>
      <c r="J180" s="397"/>
      <c r="K180" s="398"/>
    </row>
    <row r="181" spans="1:11" ht="24">
      <c r="A181" s="286" t="s">
        <v>260</v>
      </c>
      <c r="B181" s="394" t="s">
        <v>170</v>
      </c>
      <c r="C181" s="395"/>
      <c r="D181" s="286" t="s">
        <v>349</v>
      </c>
      <c r="E181" s="286" t="s">
        <v>350</v>
      </c>
      <c r="F181" s="286" t="s">
        <v>287</v>
      </c>
      <c r="G181" s="286" t="s">
        <v>288</v>
      </c>
      <c r="H181" s="286" t="s">
        <v>173</v>
      </c>
      <c r="I181" s="396">
        <v>4158.24</v>
      </c>
      <c r="J181" s="397"/>
      <c r="K181" s="398"/>
    </row>
    <row r="182" spans="1:11" ht="36">
      <c r="A182" s="286" t="s">
        <v>260</v>
      </c>
      <c r="B182" s="394" t="s">
        <v>170</v>
      </c>
      <c r="C182" s="395"/>
      <c r="D182" s="286" t="s">
        <v>349</v>
      </c>
      <c r="E182" s="286" t="s">
        <v>350</v>
      </c>
      <c r="F182" s="286" t="s">
        <v>307</v>
      </c>
      <c r="G182" s="286" t="s">
        <v>308</v>
      </c>
      <c r="H182" s="286" t="s">
        <v>173</v>
      </c>
      <c r="I182" s="396">
        <v>-95</v>
      </c>
      <c r="J182" s="397"/>
      <c r="K182" s="398"/>
    </row>
    <row r="183" spans="1:11">
      <c r="A183" s="286" t="s">
        <v>260</v>
      </c>
      <c r="B183" s="394" t="s">
        <v>170</v>
      </c>
      <c r="C183" s="395"/>
      <c r="D183" s="286" t="s">
        <v>355</v>
      </c>
      <c r="E183" s="286" t="s">
        <v>356</v>
      </c>
      <c r="F183" s="286" t="s">
        <v>357</v>
      </c>
      <c r="G183" s="286" t="s">
        <v>358</v>
      </c>
      <c r="H183" s="286" t="s">
        <v>173</v>
      </c>
      <c r="I183" s="396">
        <v>125446.39999999999</v>
      </c>
      <c r="J183" s="397"/>
      <c r="K183" s="398"/>
    </row>
    <row r="184" spans="1:11">
      <c r="A184" s="286" t="s">
        <v>260</v>
      </c>
      <c r="B184" s="394" t="s">
        <v>170</v>
      </c>
      <c r="C184" s="395"/>
      <c r="D184" s="286" t="s">
        <v>359</v>
      </c>
      <c r="E184" s="286" t="s">
        <v>360</v>
      </c>
      <c r="F184" s="286" t="s">
        <v>357</v>
      </c>
      <c r="G184" s="286" t="s">
        <v>358</v>
      </c>
      <c r="H184" s="286" t="s">
        <v>173</v>
      </c>
      <c r="I184" s="396">
        <v>181632.88</v>
      </c>
      <c r="J184" s="397"/>
      <c r="K184" s="398"/>
    </row>
    <row r="185" spans="1:11" ht="24">
      <c r="A185" s="286" t="s">
        <v>260</v>
      </c>
      <c r="B185" s="394" t="s">
        <v>170</v>
      </c>
      <c r="C185" s="395"/>
      <c r="D185" s="286" t="s">
        <v>361</v>
      </c>
      <c r="E185" s="286" t="s">
        <v>362</v>
      </c>
      <c r="F185" s="286" t="s">
        <v>287</v>
      </c>
      <c r="G185" s="286" t="s">
        <v>288</v>
      </c>
      <c r="H185" s="286" t="s">
        <v>173</v>
      </c>
      <c r="I185" s="396">
        <v>4267155.1100000003</v>
      </c>
      <c r="J185" s="397"/>
      <c r="K185" s="398"/>
    </row>
    <row r="186" spans="1:11">
      <c r="A186" s="286" t="s">
        <v>260</v>
      </c>
      <c r="B186" s="394" t="s">
        <v>170</v>
      </c>
      <c r="C186" s="395"/>
      <c r="D186" s="286" t="s">
        <v>463</v>
      </c>
      <c r="E186" s="286" t="s">
        <v>464</v>
      </c>
      <c r="F186" s="286" t="s">
        <v>450</v>
      </c>
      <c r="G186" s="286" t="s">
        <v>451</v>
      </c>
      <c r="H186" s="286" t="s">
        <v>173</v>
      </c>
      <c r="I186" s="396">
        <v>195121.4</v>
      </c>
      <c r="J186" s="397"/>
      <c r="K186" s="398"/>
    </row>
    <row r="187" spans="1:11">
      <c r="A187" s="286" t="s">
        <v>260</v>
      </c>
      <c r="B187" s="394" t="s">
        <v>170</v>
      </c>
      <c r="C187" s="395"/>
      <c r="D187" s="286" t="s">
        <v>365</v>
      </c>
      <c r="E187" s="286" t="s">
        <v>366</v>
      </c>
      <c r="F187" s="286" t="s">
        <v>263</v>
      </c>
      <c r="G187" s="286" t="s">
        <v>264</v>
      </c>
      <c r="H187" s="286" t="s">
        <v>173</v>
      </c>
      <c r="I187" s="396">
        <v>1365133.51</v>
      </c>
      <c r="J187" s="397"/>
      <c r="K187" s="398"/>
    </row>
    <row r="188" spans="1:11">
      <c r="A188" s="286" t="s">
        <v>260</v>
      </c>
      <c r="B188" s="394" t="s">
        <v>170</v>
      </c>
      <c r="C188" s="395"/>
      <c r="D188" s="286" t="s">
        <v>365</v>
      </c>
      <c r="E188" s="286" t="s">
        <v>366</v>
      </c>
      <c r="F188" s="286" t="s">
        <v>269</v>
      </c>
      <c r="G188" s="286" t="s">
        <v>270</v>
      </c>
      <c r="H188" s="286" t="s">
        <v>173</v>
      </c>
      <c r="I188" s="396">
        <v>100664</v>
      </c>
      <c r="J188" s="397"/>
      <c r="K188" s="398"/>
    </row>
    <row r="189" spans="1:11">
      <c r="A189" s="286" t="s">
        <v>260</v>
      </c>
      <c r="B189" s="394" t="s">
        <v>170</v>
      </c>
      <c r="C189" s="395"/>
      <c r="D189" s="286" t="s">
        <v>365</v>
      </c>
      <c r="E189" s="286" t="s">
        <v>366</v>
      </c>
      <c r="F189" s="286" t="s">
        <v>271</v>
      </c>
      <c r="G189" s="286" t="s">
        <v>272</v>
      </c>
      <c r="H189" s="286" t="s">
        <v>173</v>
      </c>
      <c r="I189" s="396">
        <v>44000</v>
      </c>
      <c r="J189" s="397"/>
      <c r="K189" s="398"/>
    </row>
    <row r="190" spans="1:11">
      <c r="A190" s="286" t="s">
        <v>260</v>
      </c>
      <c r="B190" s="394" t="s">
        <v>170</v>
      </c>
      <c r="C190" s="395"/>
      <c r="D190" s="286" t="s">
        <v>365</v>
      </c>
      <c r="E190" s="286" t="s">
        <v>366</v>
      </c>
      <c r="F190" s="286" t="s">
        <v>273</v>
      </c>
      <c r="G190" s="286" t="s">
        <v>274</v>
      </c>
      <c r="H190" s="286" t="s">
        <v>173</v>
      </c>
      <c r="I190" s="396">
        <v>31300</v>
      </c>
      <c r="J190" s="397"/>
      <c r="K190" s="398"/>
    </row>
    <row r="191" spans="1:11">
      <c r="A191" s="286" t="s">
        <v>260</v>
      </c>
      <c r="B191" s="394" t="s">
        <v>170</v>
      </c>
      <c r="C191" s="395"/>
      <c r="D191" s="286" t="s">
        <v>365</v>
      </c>
      <c r="E191" s="286" t="s">
        <v>366</v>
      </c>
      <c r="F191" s="286" t="s">
        <v>337</v>
      </c>
      <c r="G191" s="286" t="s">
        <v>338</v>
      </c>
      <c r="H191" s="286" t="s">
        <v>173</v>
      </c>
      <c r="I191" s="396">
        <v>2288741</v>
      </c>
      <c r="J191" s="397"/>
      <c r="K191" s="398"/>
    </row>
    <row r="192" spans="1:11" ht="36">
      <c r="A192" s="286" t="s">
        <v>260</v>
      </c>
      <c r="B192" s="394" t="s">
        <v>170</v>
      </c>
      <c r="C192" s="395"/>
      <c r="D192" s="286" t="s">
        <v>365</v>
      </c>
      <c r="E192" s="286" t="s">
        <v>366</v>
      </c>
      <c r="F192" s="286" t="s">
        <v>307</v>
      </c>
      <c r="G192" s="286" t="s">
        <v>308</v>
      </c>
      <c r="H192" s="286" t="s">
        <v>173</v>
      </c>
      <c r="I192" s="396">
        <v>-2158.0500000000002</v>
      </c>
      <c r="J192" s="397"/>
      <c r="K192" s="398"/>
    </row>
    <row r="193" spans="1:11">
      <c r="A193" s="286" t="s">
        <v>260</v>
      </c>
      <c r="B193" s="394" t="s">
        <v>170</v>
      </c>
      <c r="C193" s="395"/>
      <c r="D193" s="286" t="s">
        <v>367</v>
      </c>
      <c r="E193" s="286" t="s">
        <v>368</v>
      </c>
      <c r="F193" s="286" t="s">
        <v>337</v>
      </c>
      <c r="G193" s="286" t="s">
        <v>338</v>
      </c>
      <c r="H193" s="286" t="s">
        <v>173</v>
      </c>
      <c r="I193" s="396">
        <v>59432</v>
      </c>
      <c r="J193" s="397"/>
      <c r="K193" s="398"/>
    </row>
    <row r="194" spans="1:11" ht="24">
      <c r="A194" s="286" t="s">
        <v>260</v>
      </c>
      <c r="B194" s="394" t="s">
        <v>170</v>
      </c>
      <c r="C194" s="395"/>
      <c r="D194" s="286" t="s">
        <v>369</v>
      </c>
      <c r="E194" s="286" t="s">
        <v>370</v>
      </c>
      <c r="F194" s="286" t="s">
        <v>337</v>
      </c>
      <c r="G194" s="286" t="s">
        <v>338</v>
      </c>
      <c r="H194" s="286" t="s">
        <v>173</v>
      </c>
      <c r="I194" s="396">
        <v>1114396.18</v>
      </c>
      <c r="J194" s="397"/>
      <c r="K194" s="398"/>
    </row>
    <row r="195" spans="1:11">
      <c r="A195" s="286" t="s">
        <v>260</v>
      </c>
      <c r="B195" s="394" t="s">
        <v>170</v>
      </c>
      <c r="C195" s="395"/>
      <c r="D195" s="286" t="s">
        <v>375</v>
      </c>
      <c r="E195" s="286" t="s">
        <v>376</v>
      </c>
      <c r="F195" s="286" t="s">
        <v>279</v>
      </c>
      <c r="G195" s="286" t="s">
        <v>280</v>
      </c>
      <c r="H195" s="286" t="s">
        <v>173</v>
      </c>
      <c r="I195" s="396">
        <v>1620979.52</v>
      </c>
      <c r="J195" s="397"/>
      <c r="K195" s="398"/>
    </row>
    <row r="196" spans="1:11" ht="24">
      <c r="A196" s="286" t="s">
        <v>260</v>
      </c>
      <c r="B196" s="394" t="s">
        <v>170</v>
      </c>
      <c r="C196" s="395"/>
      <c r="D196" s="286" t="s">
        <v>375</v>
      </c>
      <c r="E196" s="286" t="s">
        <v>376</v>
      </c>
      <c r="F196" s="286" t="s">
        <v>287</v>
      </c>
      <c r="G196" s="286" t="s">
        <v>288</v>
      </c>
      <c r="H196" s="286" t="s">
        <v>173</v>
      </c>
      <c r="I196" s="396">
        <v>544111.67000000004</v>
      </c>
      <c r="J196" s="397"/>
      <c r="K196" s="398"/>
    </row>
    <row r="197" spans="1:11">
      <c r="A197" s="286" t="s">
        <v>260</v>
      </c>
      <c r="B197" s="394" t="s">
        <v>170</v>
      </c>
      <c r="C197" s="395"/>
      <c r="D197" s="286" t="s">
        <v>375</v>
      </c>
      <c r="E197" s="286" t="s">
        <v>376</v>
      </c>
      <c r="F197" s="286" t="s">
        <v>305</v>
      </c>
      <c r="G197" s="286" t="s">
        <v>306</v>
      </c>
      <c r="H197" s="286" t="s">
        <v>226</v>
      </c>
      <c r="I197" s="396">
        <v>118933.7</v>
      </c>
      <c r="J197" s="397"/>
      <c r="K197" s="398"/>
    </row>
    <row r="198" spans="1:11" ht="36">
      <c r="A198" s="286" t="s">
        <v>260</v>
      </c>
      <c r="B198" s="394" t="s">
        <v>170</v>
      </c>
      <c r="C198" s="395"/>
      <c r="D198" s="286" t="s">
        <v>375</v>
      </c>
      <c r="E198" s="286" t="s">
        <v>376</v>
      </c>
      <c r="F198" s="286" t="s">
        <v>307</v>
      </c>
      <c r="G198" s="286" t="s">
        <v>308</v>
      </c>
      <c r="H198" s="286" t="s">
        <v>173</v>
      </c>
      <c r="I198" s="396">
        <v>-34949.440000000002</v>
      </c>
      <c r="J198" s="397"/>
      <c r="K198" s="398"/>
    </row>
    <row r="199" spans="1:11" ht="24">
      <c r="A199" s="286" t="s">
        <v>260</v>
      </c>
      <c r="B199" s="394" t="s">
        <v>170</v>
      </c>
      <c r="C199" s="395"/>
      <c r="D199" s="286" t="s">
        <v>377</v>
      </c>
      <c r="E199" s="286" t="s">
        <v>378</v>
      </c>
      <c r="F199" s="286" t="s">
        <v>279</v>
      </c>
      <c r="G199" s="286" t="s">
        <v>280</v>
      </c>
      <c r="H199" s="286" t="s">
        <v>173</v>
      </c>
      <c r="I199" s="396">
        <v>6783.42</v>
      </c>
      <c r="J199" s="397"/>
      <c r="K199" s="398"/>
    </row>
    <row r="200" spans="1:11" ht="24">
      <c r="A200" s="286" t="s">
        <v>260</v>
      </c>
      <c r="B200" s="394" t="s">
        <v>170</v>
      </c>
      <c r="C200" s="395"/>
      <c r="D200" s="286" t="s">
        <v>377</v>
      </c>
      <c r="E200" s="286" t="s">
        <v>378</v>
      </c>
      <c r="F200" s="286" t="s">
        <v>281</v>
      </c>
      <c r="G200" s="286" t="s">
        <v>282</v>
      </c>
      <c r="H200" s="286" t="s">
        <v>173</v>
      </c>
      <c r="I200" s="396">
        <v>1089893.1000000001</v>
      </c>
      <c r="J200" s="397"/>
      <c r="K200" s="398"/>
    </row>
    <row r="201" spans="1:11" ht="24">
      <c r="A201" s="286" t="s">
        <v>260</v>
      </c>
      <c r="B201" s="394" t="s">
        <v>170</v>
      </c>
      <c r="C201" s="395"/>
      <c r="D201" s="286" t="s">
        <v>377</v>
      </c>
      <c r="E201" s="286" t="s">
        <v>378</v>
      </c>
      <c r="F201" s="286" t="s">
        <v>287</v>
      </c>
      <c r="G201" s="286" t="s">
        <v>288</v>
      </c>
      <c r="H201" s="286" t="s">
        <v>173</v>
      </c>
      <c r="I201" s="396">
        <v>7136240.2199999997</v>
      </c>
      <c r="J201" s="397"/>
      <c r="K201" s="398"/>
    </row>
    <row r="202" spans="1:11" ht="24">
      <c r="A202" s="286" t="s">
        <v>260</v>
      </c>
      <c r="B202" s="394" t="s">
        <v>170</v>
      </c>
      <c r="C202" s="395"/>
      <c r="D202" s="286" t="s">
        <v>377</v>
      </c>
      <c r="E202" s="286" t="s">
        <v>378</v>
      </c>
      <c r="F202" s="286" t="s">
        <v>291</v>
      </c>
      <c r="G202" s="286" t="s">
        <v>292</v>
      </c>
      <c r="H202" s="286" t="s">
        <v>173</v>
      </c>
      <c r="I202" s="396">
        <v>548030.69999999995</v>
      </c>
      <c r="J202" s="397"/>
      <c r="K202" s="398"/>
    </row>
    <row r="203" spans="1:11" ht="24">
      <c r="A203" s="286" t="s">
        <v>260</v>
      </c>
      <c r="B203" s="394" t="s">
        <v>170</v>
      </c>
      <c r="C203" s="395"/>
      <c r="D203" s="286" t="s">
        <v>377</v>
      </c>
      <c r="E203" s="286" t="s">
        <v>378</v>
      </c>
      <c r="F203" s="286" t="s">
        <v>379</v>
      </c>
      <c r="G203" s="286" t="s">
        <v>380</v>
      </c>
      <c r="H203" s="286" t="s">
        <v>173</v>
      </c>
      <c r="I203" s="396">
        <v>809437.56</v>
      </c>
      <c r="J203" s="397"/>
      <c r="K203" s="398"/>
    </row>
    <row r="204" spans="1:11" ht="24">
      <c r="A204" s="286" t="s">
        <v>260</v>
      </c>
      <c r="B204" s="394" t="s">
        <v>170</v>
      </c>
      <c r="C204" s="395"/>
      <c r="D204" s="286" t="s">
        <v>377</v>
      </c>
      <c r="E204" s="286" t="s">
        <v>378</v>
      </c>
      <c r="F204" s="286" t="s">
        <v>301</v>
      </c>
      <c r="G204" s="286" t="s">
        <v>302</v>
      </c>
      <c r="H204" s="286" t="s">
        <v>173</v>
      </c>
      <c r="I204" s="396">
        <v>6260741.5899999999</v>
      </c>
      <c r="J204" s="397"/>
      <c r="K204" s="398"/>
    </row>
    <row r="205" spans="1:11" ht="24">
      <c r="A205" s="286" t="s">
        <v>260</v>
      </c>
      <c r="B205" s="394" t="s">
        <v>170</v>
      </c>
      <c r="C205" s="395"/>
      <c r="D205" s="286" t="s">
        <v>377</v>
      </c>
      <c r="E205" s="286" t="s">
        <v>378</v>
      </c>
      <c r="F205" s="286" t="s">
        <v>381</v>
      </c>
      <c r="G205" s="286" t="s">
        <v>382</v>
      </c>
      <c r="H205" s="286" t="s">
        <v>226</v>
      </c>
      <c r="I205" s="396">
        <v>462268.26</v>
      </c>
      <c r="J205" s="397"/>
      <c r="K205" s="398"/>
    </row>
    <row r="206" spans="1:11" ht="24">
      <c r="A206" s="286" t="s">
        <v>260</v>
      </c>
      <c r="B206" s="394" t="s">
        <v>170</v>
      </c>
      <c r="C206" s="395"/>
      <c r="D206" s="286" t="s">
        <v>377</v>
      </c>
      <c r="E206" s="286" t="s">
        <v>378</v>
      </c>
      <c r="F206" s="286" t="s">
        <v>383</v>
      </c>
      <c r="G206" s="286" t="s">
        <v>384</v>
      </c>
      <c r="H206" s="286" t="s">
        <v>226</v>
      </c>
      <c r="I206" s="396">
        <v>2279520.0699999998</v>
      </c>
      <c r="J206" s="397"/>
      <c r="K206" s="398"/>
    </row>
    <row r="207" spans="1:11" ht="24">
      <c r="A207" s="286" t="s">
        <v>260</v>
      </c>
      <c r="B207" s="394" t="s">
        <v>170</v>
      </c>
      <c r="C207" s="395"/>
      <c r="D207" s="286" t="s">
        <v>377</v>
      </c>
      <c r="E207" s="286" t="s">
        <v>378</v>
      </c>
      <c r="F207" s="286" t="s">
        <v>385</v>
      </c>
      <c r="G207" s="286" t="s">
        <v>386</v>
      </c>
      <c r="H207" s="286" t="s">
        <v>226</v>
      </c>
      <c r="I207" s="396">
        <v>548861.81999999995</v>
      </c>
      <c r="J207" s="397"/>
      <c r="K207" s="398"/>
    </row>
    <row r="208" spans="1:11" ht="24">
      <c r="A208" s="286" t="s">
        <v>260</v>
      </c>
      <c r="B208" s="394" t="s">
        <v>170</v>
      </c>
      <c r="C208" s="395"/>
      <c r="D208" s="286" t="s">
        <v>377</v>
      </c>
      <c r="E208" s="286" t="s">
        <v>378</v>
      </c>
      <c r="F208" s="286" t="s">
        <v>387</v>
      </c>
      <c r="G208" s="286" t="s">
        <v>388</v>
      </c>
      <c r="H208" s="286" t="s">
        <v>173</v>
      </c>
      <c r="I208" s="396">
        <v>272128.49</v>
      </c>
      <c r="J208" s="397"/>
      <c r="K208" s="398"/>
    </row>
    <row r="209" spans="1:11" ht="24">
      <c r="A209" s="286" t="s">
        <v>260</v>
      </c>
      <c r="B209" s="394" t="s">
        <v>170</v>
      </c>
      <c r="C209" s="395"/>
      <c r="D209" s="286" t="s">
        <v>377</v>
      </c>
      <c r="E209" s="286" t="s">
        <v>378</v>
      </c>
      <c r="F209" s="286" t="s">
        <v>389</v>
      </c>
      <c r="G209" s="286" t="s">
        <v>390</v>
      </c>
      <c r="H209" s="286" t="s">
        <v>173</v>
      </c>
      <c r="I209" s="396">
        <v>755724</v>
      </c>
      <c r="J209" s="397"/>
      <c r="K209" s="398"/>
    </row>
    <row r="210" spans="1:11" ht="24">
      <c r="A210" s="286" t="s">
        <v>260</v>
      </c>
      <c r="B210" s="394" t="s">
        <v>170</v>
      </c>
      <c r="C210" s="395"/>
      <c r="D210" s="286" t="s">
        <v>377</v>
      </c>
      <c r="E210" s="286" t="s">
        <v>378</v>
      </c>
      <c r="F210" s="286" t="s">
        <v>393</v>
      </c>
      <c r="G210" s="286" t="s">
        <v>394</v>
      </c>
      <c r="H210" s="286" t="s">
        <v>226</v>
      </c>
      <c r="I210" s="396">
        <v>931045.22</v>
      </c>
      <c r="J210" s="397"/>
      <c r="K210" s="398"/>
    </row>
    <row r="211" spans="1:11" ht="24">
      <c r="A211" s="286" t="s">
        <v>260</v>
      </c>
      <c r="B211" s="394" t="s">
        <v>170</v>
      </c>
      <c r="C211" s="395"/>
      <c r="D211" s="286" t="s">
        <v>377</v>
      </c>
      <c r="E211" s="286" t="s">
        <v>378</v>
      </c>
      <c r="F211" s="286" t="s">
        <v>395</v>
      </c>
      <c r="G211" s="286" t="s">
        <v>396</v>
      </c>
      <c r="H211" s="286" t="s">
        <v>226</v>
      </c>
      <c r="I211" s="396">
        <v>773196.2</v>
      </c>
      <c r="J211" s="397"/>
      <c r="K211" s="398"/>
    </row>
    <row r="212" spans="1:11" ht="24">
      <c r="A212" s="286" t="s">
        <v>260</v>
      </c>
      <c r="B212" s="394" t="s">
        <v>170</v>
      </c>
      <c r="C212" s="395"/>
      <c r="D212" s="286" t="s">
        <v>377</v>
      </c>
      <c r="E212" s="286" t="s">
        <v>378</v>
      </c>
      <c r="F212" s="286" t="s">
        <v>305</v>
      </c>
      <c r="G212" s="286" t="s">
        <v>306</v>
      </c>
      <c r="H212" s="286" t="s">
        <v>226</v>
      </c>
      <c r="I212" s="396">
        <v>2082273.87</v>
      </c>
      <c r="J212" s="397"/>
      <c r="K212" s="398"/>
    </row>
    <row r="213" spans="1:11" ht="24">
      <c r="A213" s="286" t="s">
        <v>260</v>
      </c>
      <c r="B213" s="394" t="s">
        <v>170</v>
      </c>
      <c r="C213" s="395"/>
      <c r="D213" s="286" t="s">
        <v>377</v>
      </c>
      <c r="E213" s="286" t="s">
        <v>378</v>
      </c>
      <c r="F213" s="286" t="s">
        <v>399</v>
      </c>
      <c r="G213" s="286" t="s">
        <v>400</v>
      </c>
      <c r="H213" s="286" t="s">
        <v>173</v>
      </c>
      <c r="I213" s="396">
        <v>3859048.72</v>
      </c>
      <c r="J213" s="397"/>
      <c r="K213" s="398"/>
    </row>
    <row r="214" spans="1:11" ht="36">
      <c r="A214" s="286" t="s">
        <v>260</v>
      </c>
      <c r="B214" s="394" t="s">
        <v>170</v>
      </c>
      <c r="C214" s="395"/>
      <c r="D214" s="286" t="s">
        <v>377</v>
      </c>
      <c r="E214" s="286" t="s">
        <v>378</v>
      </c>
      <c r="F214" s="286" t="s">
        <v>401</v>
      </c>
      <c r="G214" s="286" t="s">
        <v>402</v>
      </c>
      <c r="H214" s="286" t="s">
        <v>226</v>
      </c>
      <c r="I214" s="396">
        <v>2902079.32</v>
      </c>
      <c r="J214" s="397"/>
      <c r="K214" s="398"/>
    </row>
    <row r="215" spans="1:11" ht="36">
      <c r="A215" s="286" t="s">
        <v>260</v>
      </c>
      <c r="B215" s="394" t="s">
        <v>170</v>
      </c>
      <c r="C215" s="395"/>
      <c r="D215" s="286" t="s">
        <v>377</v>
      </c>
      <c r="E215" s="286" t="s">
        <v>378</v>
      </c>
      <c r="F215" s="286" t="s">
        <v>307</v>
      </c>
      <c r="G215" s="286" t="s">
        <v>308</v>
      </c>
      <c r="H215" s="286" t="s">
        <v>173</v>
      </c>
      <c r="I215" s="396">
        <v>-22633.52</v>
      </c>
      <c r="J215" s="397"/>
      <c r="K215" s="398"/>
    </row>
    <row r="216" spans="1:11" ht="24">
      <c r="A216" s="286" t="s">
        <v>260</v>
      </c>
      <c r="B216" s="394" t="s">
        <v>170</v>
      </c>
      <c r="C216" s="395"/>
      <c r="D216" s="286" t="s">
        <v>403</v>
      </c>
      <c r="E216" s="286" t="s">
        <v>404</v>
      </c>
      <c r="F216" s="286" t="s">
        <v>287</v>
      </c>
      <c r="G216" s="286" t="s">
        <v>288</v>
      </c>
      <c r="H216" s="286" t="s">
        <v>173</v>
      </c>
      <c r="I216" s="396">
        <v>8725411.5399999991</v>
      </c>
      <c r="J216" s="397"/>
      <c r="K216" s="398"/>
    </row>
    <row r="217" spans="1:11" ht="24">
      <c r="A217" s="286" t="s">
        <v>260</v>
      </c>
      <c r="B217" s="394" t="s">
        <v>170</v>
      </c>
      <c r="C217" s="395"/>
      <c r="D217" s="286" t="s">
        <v>407</v>
      </c>
      <c r="E217" s="286" t="s">
        <v>408</v>
      </c>
      <c r="F217" s="286" t="s">
        <v>287</v>
      </c>
      <c r="G217" s="286" t="s">
        <v>288</v>
      </c>
      <c r="H217" s="286" t="s">
        <v>173</v>
      </c>
      <c r="I217" s="396">
        <v>7241.64</v>
      </c>
      <c r="J217" s="397"/>
      <c r="K217" s="398"/>
    </row>
    <row r="218" spans="1:11">
      <c r="A218" s="286" t="s">
        <v>260</v>
      </c>
      <c r="B218" s="394" t="s">
        <v>170</v>
      </c>
      <c r="C218" s="395"/>
      <c r="D218" s="286" t="s">
        <v>407</v>
      </c>
      <c r="E218" s="286" t="s">
        <v>408</v>
      </c>
      <c r="F218" s="286" t="s">
        <v>385</v>
      </c>
      <c r="G218" s="286" t="s">
        <v>386</v>
      </c>
      <c r="H218" s="286" t="s">
        <v>226</v>
      </c>
      <c r="I218" s="396">
        <v>2683965.21</v>
      </c>
      <c r="J218" s="397"/>
      <c r="K218" s="398"/>
    </row>
    <row r="219" spans="1:11">
      <c r="A219" s="286" t="s">
        <v>260</v>
      </c>
      <c r="B219" s="394" t="s">
        <v>170</v>
      </c>
      <c r="C219" s="395"/>
      <c r="D219" s="286" t="s">
        <v>407</v>
      </c>
      <c r="E219" s="286" t="s">
        <v>408</v>
      </c>
      <c r="F219" s="286" t="s">
        <v>393</v>
      </c>
      <c r="G219" s="286" t="s">
        <v>394</v>
      </c>
      <c r="H219" s="286" t="s">
        <v>226</v>
      </c>
      <c r="I219" s="396">
        <v>6107887.4900000002</v>
      </c>
      <c r="J219" s="397"/>
      <c r="K219" s="398"/>
    </row>
    <row r="220" spans="1:11">
      <c r="A220" s="286" t="s">
        <v>260</v>
      </c>
      <c r="B220" s="394" t="s">
        <v>170</v>
      </c>
      <c r="C220" s="395"/>
      <c r="D220" s="286" t="s">
        <v>411</v>
      </c>
      <c r="E220" s="286" t="s">
        <v>412</v>
      </c>
      <c r="F220" s="286" t="s">
        <v>381</v>
      </c>
      <c r="G220" s="286" t="s">
        <v>382</v>
      </c>
      <c r="H220" s="286" t="s">
        <v>226</v>
      </c>
      <c r="I220" s="396">
        <v>425810.76</v>
      </c>
      <c r="J220" s="397"/>
      <c r="K220" s="398"/>
    </row>
    <row r="221" spans="1:11">
      <c r="A221" s="286" t="s">
        <v>260</v>
      </c>
      <c r="B221" s="394" t="s">
        <v>170</v>
      </c>
      <c r="C221" s="395"/>
      <c r="D221" s="286" t="s">
        <v>411</v>
      </c>
      <c r="E221" s="286" t="s">
        <v>412</v>
      </c>
      <c r="F221" s="286" t="s">
        <v>383</v>
      </c>
      <c r="G221" s="286" t="s">
        <v>384</v>
      </c>
      <c r="H221" s="286" t="s">
        <v>226</v>
      </c>
      <c r="I221" s="396">
        <v>2412927.64</v>
      </c>
      <c r="J221" s="397"/>
      <c r="K221" s="398"/>
    </row>
    <row r="222" spans="1:11">
      <c r="A222" s="286" t="s">
        <v>260</v>
      </c>
      <c r="B222" s="394" t="s">
        <v>170</v>
      </c>
      <c r="C222" s="395"/>
      <c r="D222" s="286" t="s">
        <v>411</v>
      </c>
      <c r="E222" s="286" t="s">
        <v>412</v>
      </c>
      <c r="F222" s="286" t="s">
        <v>385</v>
      </c>
      <c r="G222" s="286" t="s">
        <v>386</v>
      </c>
      <c r="H222" s="286" t="s">
        <v>226</v>
      </c>
      <c r="I222" s="396">
        <v>141502.54999999999</v>
      </c>
      <c r="J222" s="397"/>
      <c r="K222" s="398"/>
    </row>
    <row r="223" spans="1:11" ht="24">
      <c r="A223" s="286" t="s">
        <v>260</v>
      </c>
      <c r="B223" s="394" t="s">
        <v>248</v>
      </c>
      <c r="C223" s="395"/>
      <c r="D223" s="286" t="s">
        <v>377</v>
      </c>
      <c r="E223" s="286" t="s">
        <v>378</v>
      </c>
      <c r="F223" s="286" t="s">
        <v>381</v>
      </c>
      <c r="G223" s="286" t="s">
        <v>382</v>
      </c>
      <c r="H223" s="286" t="s">
        <v>226</v>
      </c>
      <c r="I223" s="396">
        <v>553077.48</v>
      </c>
      <c r="J223" s="397"/>
      <c r="K223" s="398"/>
    </row>
    <row r="224" spans="1:11" ht="24">
      <c r="A224" s="286" t="s">
        <v>260</v>
      </c>
      <c r="B224" s="394" t="s">
        <v>248</v>
      </c>
      <c r="C224" s="395"/>
      <c r="D224" s="286" t="s">
        <v>377</v>
      </c>
      <c r="E224" s="286" t="s">
        <v>378</v>
      </c>
      <c r="F224" s="286" t="s">
        <v>383</v>
      </c>
      <c r="G224" s="286" t="s">
        <v>384</v>
      </c>
      <c r="H224" s="286" t="s">
        <v>226</v>
      </c>
      <c r="I224" s="396">
        <v>2814810.62</v>
      </c>
      <c r="J224" s="397"/>
      <c r="K224" s="398"/>
    </row>
    <row r="225" spans="1:11">
      <c r="A225" s="286" t="s">
        <v>260</v>
      </c>
      <c r="B225" s="394" t="s">
        <v>256</v>
      </c>
      <c r="C225" s="395"/>
      <c r="D225" s="286" t="s">
        <v>355</v>
      </c>
      <c r="E225" s="286" t="s">
        <v>356</v>
      </c>
      <c r="F225" s="286" t="s">
        <v>263</v>
      </c>
      <c r="G225" s="286" t="s">
        <v>264</v>
      </c>
      <c r="H225" s="286" t="s">
        <v>173</v>
      </c>
      <c r="I225" s="396">
        <v>96950</v>
      </c>
      <c r="J225" s="397"/>
      <c r="K225" s="398"/>
    </row>
    <row r="226" spans="1:11">
      <c r="A226" s="286" t="s">
        <v>260</v>
      </c>
      <c r="B226" s="394" t="s">
        <v>256</v>
      </c>
      <c r="C226" s="395"/>
      <c r="D226" s="286" t="s">
        <v>355</v>
      </c>
      <c r="E226" s="286" t="s">
        <v>356</v>
      </c>
      <c r="F226" s="286" t="s">
        <v>269</v>
      </c>
      <c r="G226" s="286" t="s">
        <v>270</v>
      </c>
      <c r="H226" s="286" t="s">
        <v>173</v>
      </c>
      <c r="I226" s="396">
        <v>5546</v>
      </c>
      <c r="J226" s="397"/>
      <c r="K226" s="398"/>
    </row>
    <row r="227" spans="1:11">
      <c r="A227" s="286" t="s">
        <v>260</v>
      </c>
      <c r="B227" s="394" t="s">
        <v>256</v>
      </c>
      <c r="C227" s="395"/>
      <c r="D227" s="286" t="s">
        <v>355</v>
      </c>
      <c r="E227" s="286" t="s">
        <v>356</v>
      </c>
      <c r="F227" s="286" t="s">
        <v>271</v>
      </c>
      <c r="G227" s="286" t="s">
        <v>272</v>
      </c>
      <c r="H227" s="286" t="s">
        <v>173</v>
      </c>
      <c r="I227" s="396">
        <v>1600</v>
      </c>
      <c r="J227" s="397"/>
      <c r="K227" s="398"/>
    </row>
    <row r="228" spans="1:11">
      <c r="A228" s="286" t="s">
        <v>260</v>
      </c>
      <c r="B228" s="394" t="s">
        <v>256</v>
      </c>
      <c r="C228" s="395"/>
      <c r="D228" s="286" t="s">
        <v>355</v>
      </c>
      <c r="E228" s="286" t="s">
        <v>356</v>
      </c>
      <c r="F228" s="286" t="s">
        <v>273</v>
      </c>
      <c r="G228" s="286" t="s">
        <v>274</v>
      </c>
      <c r="H228" s="286" t="s">
        <v>173</v>
      </c>
      <c r="I228" s="396">
        <v>2307</v>
      </c>
      <c r="J228" s="397"/>
      <c r="K228" s="398"/>
    </row>
    <row r="229" spans="1:11">
      <c r="A229" s="286" t="s">
        <v>260</v>
      </c>
      <c r="B229" s="394" t="s">
        <v>256</v>
      </c>
      <c r="C229" s="395"/>
      <c r="D229" s="286" t="s">
        <v>355</v>
      </c>
      <c r="E229" s="286" t="s">
        <v>356</v>
      </c>
      <c r="F229" s="286" t="s">
        <v>279</v>
      </c>
      <c r="G229" s="286" t="s">
        <v>280</v>
      </c>
      <c r="H229" s="286" t="s">
        <v>173</v>
      </c>
      <c r="I229" s="396">
        <v>8300</v>
      </c>
      <c r="J229" s="397"/>
      <c r="K229" s="398"/>
    </row>
    <row r="230" spans="1:11">
      <c r="A230" s="286" t="s">
        <v>260</v>
      </c>
      <c r="B230" s="394" t="s">
        <v>256</v>
      </c>
      <c r="C230" s="395"/>
      <c r="D230" s="286" t="s">
        <v>355</v>
      </c>
      <c r="E230" s="286" t="s">
        <v>356</v>
      </c>
      <c r="F230" s="286" t="s">
        <v>281</v>
      </c>
      <c r="G230" s="286" t="s">
        <v>282</v>
      </c>
      <c r="H230" s="286" t="s">
        <v>173</v>
      </c>
      <c r="I230" s="396">
        <v>2100</v>
      </c>
      <c r="J230" s="397"/>
      <c r="K230" s="398"/>
    </row>
    <row r="231" spans="1:11" ht="24">
      <c r="A231" s="286" t="s">
        <v>260</v>
      </c>
      <c r="B231" s="394" t="s">
        <v>256</v>
      </c>
      <c r="C231" s="395"/>
      <c r="D231" s="286" t="s">
        <v>355</v>
      </c>
      <c r="E231" s="286" t="s">
        <v>356</v>
      </c>
      <c r="F231" s="286" t="s">
        <v>287</v>
      </c>
      <c r="G231" s="286" t="s">
        <v>288</v>
      </c>
      <c r="H231" s="286" t="s">
        <v>173</v>
      </c>
      <c r="I231" s="396">
        <v>8643.4</v>
      </c>
      <c r="J231" s="397"/>
      <c r="K231" s="398"/>
    </row>
    <row r="232" spans="1:11">
      <c r="A232" s="286" t="s">
        <v>260</v>
      </c>
      <c r="B232" s="394" t="s">
        <v>256</v>
      </c>
      <c r="C232" s="395"/>
      <c r="D232" s="286" t="s">
        <v>359</v>
      </c>
      <c r="E232" s="286" t="s">
        <v>360</v>
      </c>
      <c r="F232" s="286" t="s">
        <v>263</v>
      </c>
      <c r="G232" s="286" t="s">
        <v>264</v>
      </c>
      <c r="H232" s="286" t="s">
        <v>173</v>
      </c>
      <c r="I232" s="396">
        <v>122327</v>
      </c>
      <c r="J232" s="397"/>
      <c r="K232" s="398"/>
    </row>
    <row r="233" spans="1:11">
      <c r="A233" s="286" t="s">
        <v>260</v>
      </c>
      <c r="B233" s="394" t="s">
        <v>256</v>
      </c>
      <c r="C233" s="395"/>
      <c r="D233" s="286" t="s">
        <v>359</v>
      </c>
      <c r="E233" s="286" t="s">
        <v>360</v>
      </c>
      <c r="F233" s="286" t="s">
        <v>269</v>
      </c>
      <c r="G233" s="286" t="s">
        <v>270</v>
      </c>
      <c r="H233" s="286" t="s">
        <v>173</v>
      </c>
      <c r="I233" s="396">
        <v>9700</v>
      </c>
      <c r="J233" s="397"/>
      <c r="K233" s="398"/>
    </row>
    <row r="234" spans="1:11">
      <c r="A234" s="286" t="s">
        <v>260</v>
      </c>
      <c r="B234" s="394" t="s">
        <v>256</v>
      </c>
      <c r="C234" s="395"/>
      <c r="D234" s="286" t="s">
        <v>359</v>
      </c>
      <c r="E234" s="286" t="s">
        <v>360</v>
      </c>
      <c r="F234" s="286" t="s">
        <v>271</v>
      </c>
      <c r="G234" s="286" t="s">
        <v>272</v>
      </c>
      <c r="H234" s="286" t="s">
        <v>173</v>
      </c>
      <c r="I234" s="396">
        <v>3200</v>
      </c>
      <c r="J234" s="397"/>
      <c r="K234" s="398"/>
    </row>
    <row r="235" spans="1:11">
      <c r="A235" s="286" t="s">
        <v>260</v>
      </c>
      <c r="B235" s="394" t="s">
        <v>256</v>
      </c>
      <c r="C235" s="395"/>
      <c r="D235" s="286" t="s">
        <v>359</v>
      </c>
      <c r="E235" s="286" t="s">
        <v>360</v>
      </c>
      <c r="F235" s="286" t="s">
        <v>273</v>
      </c>
      <c r="G235" s="286" t="s">
        <v>274</v>
      </c>
      <c r="H235" s="286" t="s">
        <v>173</v>
      </c>
      <c r="I235" s="396">
        <v>2967</v>
      </c>
      <c r="J235" s="397"/>
      <c r="K235" s="398"/>
    </row>
    <row r="236" spans="1:11">
      <c r="A236" s="286" t="s">
        <v>260</v>
      </c>
      <c r="B236" s="394" t="s">
        <v>256</v>
      </c>
      <c r="C236" s="395"/>
      <c r="D236" s="286" t="s">
        <v>359</v>
      </c>
      <c r="E236" s="286" t="s">
        <v>360</v>
      </c>
      <c r="F236" s="286" t="s">
        <v>279</v>
      </c>
      <c r="G236" s="286" t="s">
        <v>280</v>
      </c>
      <c r="H236" s="286" t="s">
        <v>173</v>
      </c>
      <c r="I236" s="396">
        <v>9898.9599999999991</v>
      </c>
      <c r="J236" s="397"/>
      <c r="K236" s="398"/>
    </row>
    <row r="237" spans="1:11">
      <c r="A237" s="286" t="s">
        <v>260</v>
      </c>
      <c r="B237" s="394" t="s">
        <v>256</v>
      </c>
      <c r="C237" s="395"/>
      <c r="D237" s="286" t="s">
        <v>359</v>
      </c>
      <c r="E237" s="286" t="s">
        <v>360</v>
      </c>
      <c r="F237" s="286" t="s">
        <v>281</v>
      </c>
      <c r="G237" s="286" t="s">
        <v>282</v>
      </c>
      <c r="H237" s="286" t="s">
        <v>173</v>
      </c>
      <c r="I237" s="396">
        <v>2024.23</v>
      </c>
      <c r="J237" s="397"/>
      <c r="K237" s="398"/>
    </row>
    <row r="238" spans="1:11" ht="24">
      <c r="A238" s="286" t="s">
        <v>260</v>
      </c>
      <c r="B238" s="394" t="s">
        <v>256</v>
      </c>
      <c r="C238" s="395"/>
      <c r="D238" s="286" t="s">
        <v>359</v>
      </c>
      <c r="E238" s="286" t="s">
        <v>360</v>
      </c>
      <c r="F238" s="286" t="s">
        <v>285</v>
      </c>
      <c r="G238" s="286" t="s">
        <v>286</v>
      </c>
      <c r="H238" s="286" t="s">
        <v>173</v>
      </c>
      <c r="I238" s="396">
        <v>1782.17</v>
      </c>
      <c r="J238" s="397"/>
      <c r="K238" s="398"/>
    </row>
    <row r="239" spans="1:11" ht="24">
      <c r="A239" s="286" t="s">
        <v>260</v>
      </c>
      <c r="B239" s="394" t="s">
        <v>256</v>
      </c>
      <c r="C239" s="395"/>
      <c r="D239" s="286" t="s">
        <v>359</v>
      </c>
      <c r="E239" s="286" t="s">
        <v>360</v>
      </c>
      <c r="F239" s="286" t="s">
        <v>287</v>
      </c>
      <c r="G239" s="286" t="s">
        <v>288</v>
      </c>
      <c r="H239" s="286" t="s">
        <v>173</v>
      </c>
      <c r="I239" s="396">
        <v>29733.52</v>
      </c>
      <c r="J239" s="397"/>
      <c r="K239" s="398"/>
    </row>
    <row r="240" spans="1:11" ht="24">
      <c r="A240" s="286" t="s">
        <v>415</v>
      </c>
      <c r="B240" s="408"/>
      <c r="C240" s="409"/>
      <c r="D240" s="287"/>
      <c r="E240" s="287"/>
      <c r="F240" s="287"/>
      <c r="G240" s="287"/>
      <c r="H240" s="287"/>
      <c r="I240" s="396">
        <v>83848974.239999995</v>
      </c>
      <c r="J240" s="397"/>
      <c r="K240" s="398"/>
    </row>
    <row r="241" spans="1:10">
      <c r="A241" s="410" t="s">
        <v>152</v>
      </c>
      <c r="B241" s="410"/>
      <c r="C241" s="410"/>
      <c r="D241" s="410"/>
      <c r="E241" s="410"/>
      <c r="F241" s="410"/>
      <c r="G241" s="410"/>
      <c r="H241" s="410"/>
      <c r="I241" s="410"/>
      <c r="J241" s="410"/>
    </row>
    <row r="242" spans="1:10">
      <c r="A242" s="411" t="s">
        <v>416</v>
      </c>
      <c r="B242" s="411"/>
      <c r="C242" s="411"/>
      <c r="D242" s="411"/>
      <c r="E242" s="411"/>
      <c r="F242" s="411"/>
      <c r="G242" s="411"/>
      <c r="H242" s="411"/>
      <c r="I242" s="411"/>
      <c r="J242" s="411"/>
    </row>
  </sheetData>
  <mergeCells count="469">
    <mergeCell ref="B239:C239"/>
    <mergeCell ref="I239:K239"/>
    <mergeCell ref="B240:C240"/>
    <mergeCell ref="I240:K240"/>
    <mergeCell ref="A241:J241"/>
    <mergeCell ref="A242:J242"/>
    <mergeCell ref="B236:C236"/>
    <mergeCell ref="I236:K236"/>
    <mergeCell ref="B237:C237"/>
    <mergeCell ref="I237:K237"/>
    <mergeCell ref="B238:C238"/>
    <mergeCell ref="I238:K238"/>
    <mergeCell ref="B233:C233"/>
    <mergeCell ref="I233:K233"/>
    <mergeCell ref="B234:C234"/>
    <mergeCell ref="I234:K234"/>
    <mergeCell ref="B235:C235"/>
    <mergeCell ref="I235:K235"/>
    <mergeCell ref="B230:C230"/>
    <mergeCell ref="I230:K230"/>
    <mergeCell ref="B231:C231"/>
    <mergeCell ref="I231:K231"/>
    <mergeCell ref="B232:C232"/>
    <mergeCell ref="I232:K232"/>
    <mergeCell ref="B227:C227"/>
    <mergeCell ref="I227:K227"/>
    <mergeCell ref="B228:C228"/>
    <mergeCell ref="I228:K228"/>
    <mergeCell ref="B229:C229"/>
    <mergeCell ref="I229:K229"/>
    <mergeCell ref="B224:C224"/>
    <mergeCell ref="I224:K224"/>
    <mergeCell ref="B225:C225"/>
    <mergeCell ref="I225:K225"/>
    <mergeCell ref="B226:C226"/>
    <mergeCell ref="I226:K226"/>
    <mergeCell ref="B221:C221"/>
    <mergeCell ref="I221:K221"/>
    <mergeCell ref="B222:C222"/>
    <mergeCell ref="I222:K222"/>
    <mergeCell ref="B223:C223"/>
    <mergeCell ref="I223:K223"/>
    <mergeCell ref="B218:C218"/>
    <mergeCell ref="I218:K218"/>
    <mergeCell ref="B219:C219"/>
    <mergeCell ref="I219:K219"/>
    <mergeCell ref="B220:C220"/>
    <mergeCell ref="I220:K220"/>
    <mergeCell ref="B215:C215"/>
    <mergeCell ref="I215:K215"/>
    <mergeCell ref="B216:C216"/>
    <mergeCell ref="I216:K216"/>
    <mergeCell ref="B217:C217"/>
    <mergeCell ref="I217:K217"/>
    <mergeCell ref="B212:C212"/>
    <mergeCell ref="I212:K212"/>
    <mergeCell ref="B213:C213"/>
    <mergeCell ref="I213:K213"/>
    <mergeCell ref="B214:C214"/>
    <mergeCell ref="I214:K214"/>
    <mergeCell ref="B209:C209"/>
    <mergeCell ref="I209:K209"/>
    <mergeCell ref="B210:C210"/>
    <mergeCell ref="I210:K210"/>
    <mergeCell ref="B211:C211"/>
    <mergeCell ref="I211:K211"/>
    <mergeCell ref="B206:C206"/>
    <mergeCell ref="I206:K206"/>
    <mergeCell ref="B207:C207"/>
    <mergeCell ref="I207:K207"/>
    <mergeCell ref="B208:C208"/>
    <mergeCell ref="I208:K208"/>
    <mergeCell ref="B203:C203"/>
    <mergeCell ref="I203:K203"/>
    <mergeCell ref="B204:C204"/>
    <mergeCell ref="I204:K204"/>
    <mergeCell ref="B205:C205"/>
    <mergeCell ref="I205:K205"/>
    <mergeCell ref="B200:C200"/>
    <mergeCell ref="I200:K200"/>
    <mergeCell ref="B201:C201"/>
    <mergeCell ref="I201:K201"/>
    <mergeCell ref="B202:C202"/>
    <mergeCell ref="I202:K202"/>
    <mergeCell ref="B197:C197"/>
    <mergeCell ref="I197:K197"/>
    <mergeCell ref="B198:C198"/>
    <mergeCell ref="I198:K198"/>
    <mergeCell ref="B199:C199"/>
    <mergeCell ref="I199:K199"/>
    <mergeCell ref="B194:C194"/>
    <mergeCell ref="I194:K194"/>
    <mergeCell ref="B195:C195"/>
    <mergeCell ref="I195:K195"/>
    <mergeCell ref="B196:C196"/>
    <mergeCell ref="I196:K196"/>
    <mergeCell ref="B191:C191"/>
    <mergeCell ref="I191:K191"/>
    <mergeCell ref="B192:C192"/>
    <mergeCell ref="I192:K192"/>
    <mergeCell ref="B193:C193"/>
    <mergeCell ref="I193:K193"/>
    <mergeCell ref="B188:C188"/>
    <mergeCell ref="I188:K188"/>
    <mergeCell ref="B189:C189"/>
    <mergeCell ref="I189:K189"/>
    <mergeCell ref="B190:C190"/>
    <mergeCell ref="I190:K190"/>
    <mergeCell ref="B185:C185"/>
    <mergeCell ref="I185:K185"/>
    <mergeCell ref="B186:C186"/>
    <mergeCell ref="I186:K186"/>
    <mergeCell ref="B187:C187"/>
    <mergeCell ref="I187:K187"/>
    <mergeCell ref="B182:C182"/>
    <mergeCell ref="I182:K182"/>
    <mergeCell ref="B183:C183"/>
    <mergeCell ref="I183:K183"/>
    <mergeCell ref="B184:C184"/>
    <mergeCell ref="I184:K184"/>
    <mergeCell ref="B179:C179"/>
    <mergeCell ref="I179:K179"/>
    <mergeCell ref="B180:C180"/>
    <mergeCell ref="I180:K180"/>
    <mergeCell ref="B181:C181"/>
    <mergeCell ref="I181:K181"/>
    <mergeCell ref="B176:C176"/>
    <mergeCell ref="I176:K176"/>
    <mergeCell ref="B177:C177"/>
    <mergeCell ref="I177:K177"/>
    <mergeCell ref="B178:C178"/>
    <mergeCell ref="I178:K178"/>
    <mergeCell ref="B173:C173"/>
    <mergeCell ref="I173:K173"/>
    <mergeCell ref="B174:C174"/>
    <mergeCell ref="I174:K174"/>
    <mergeCell ref="B175:C175"/>
    <mergeCell ref="I175:K175"/>
    <mergeCell ref="B170:C170"/>
    <mergeCell ref="I170:K170"/>
    <mergeCell ref="B171:C171"/>
    <mergeCell ref="I171:K171"/>
    <mergeCell ref="B172:C172"/>
    <mergeCell ref="I172:K172"/>
    <mergeCell ref="B167:C167"/>
    <mergeCell ref="I167:K167"/>
    <mergeCell ref="B168:C168"/>
    <mergeCell ref="I168:K168"/>
    <mergeCell ref="B169:C169"/>
    <mergeCell ref="I169:K169"/>
    <mergeCell ref="B164:C164"/>
    <mergeCell ref="I164:K164"/>
    <mergeCell ref="B165:C165"/>
    <mergeCell ref="I165:K165"/>
    <mergeCell ref="B166:C166"/>
    <mergeCell ref="I166:K166"/>
    <mergeCell ref="B161:C161"/>
    <mergeCell ref="I161:K161"/>
    <mergeCell ref="B162:C162"/>
    <mergeCell ref="I162:K162"/>
    <mergeCell ref="B163:C163"/>
    <mergeCell ref="I163:K163"/>
    <mergeCell ref="B158:C158"/>
    <mergeCell ref="I158:K158"/>
    <mergeCell ref="B159:C159"/>
    <mergeCell ref="I159:K159"/>
    <mergeCell ref="B160:C160"/>
    <mergeCell ref="I160:K160"/>
    <mergeCell ref="B155:C155"/>
    <mergeCell ref="I155:K155"/>
    <mergeCell ref="B156:C156"/>
    <mergeCell ref="I156:K156"/>
    <mergeCell ref="B157:C157"/>
    <mergeCell ref="I157:K157"/>
    <mergeCell ref="B152:C152"/>
    <mergeCell ref="I152:K152"/>
    <mergeCell ref="B153:C153"/>
    <mergeCell ref="I153:K153"/>
    <mergeCell ref="B154:C154"/>
    <mergeCell ref="I154:K154"/>
    <mergeCell ref="B149:C149"/>
    <mergeCell ref="I149:K149"/>
    <mergeCell ref="B150:C150"/>
    <mergeCell ref="I150:K150"/>
    <mergeCell ref="B151:C151"/>
    <mergeCell ref="I151:K151"/>
    <mergeCell ref="B146:C146"/>
    <mergeCell ref="I146:K146"/>
    <mergeCell ref="B147:C147"/>
    <mergeCell ref="I147:K147"/>
    <mergeCell ref="B148:C148"/>
    <mergeCell ref="I148:K148"/>
    <mergeCell ref="B143:C143"/>
    <mergeCell ref="I143:K143"/>
    <mergeCell ref="B144:C144"/>
    <mergeCell ref="I144:K144"/>
    <mergeCell ref="B145:C145"/>
    <mergeCell ref="I145:K145"/>
    <mergeCell ref="B140:C140"/>
    <mergeCell ref="I140:K140"/>
    <mergeCell ref="B141:C141"/>
    <mergeCell ref="I141:K141"/>
    <mergeCell ref="B142:C142"/>
    <mergeCell ref="I142:K142"/>
    <mergeCell ref="B137:C137"/>
    <mergeCell ref="I137:K137"/>
    <mergeCell ref="B138:C138"/>
    <mergeCell ref="I138:K138"/>
    <mergeCell ref="B139:C139"/>
    <mergeCell ref="I139:K139"/>
    <mergeCell ref="B134:C134"/>
    <mergeCell ref="I134:K134"/>
    <mergeCell ref="B135:C135"/>
    <mergeCell ref="I135:K135"/>
    <mergeCell ref="B136:C136"/>
    <mergeCell ref="I136:K136"/>
    <mergeCell ref="B131:C131"/>
    <mergeCell ref="I131:K131"/>
    <mergeCell ref="B132:C132"/>
    <mergeCell ref="I132:K132"/>
    <mergeCell ref="B133:C133"/>
    <mergeCell ref="I133:K133"/>
    <mergeCell ref="B128:C128"/>
    <mergeCell ref="I128:K128"/>
    <mergeCell ref="B129:C129"/>
    <mergeCell ref="I129:K129"/>
    <mergeCell ref="B130:C130"/>
    <mergeCell ref="I130:K130"/>
    <mergeCell ref="B125:C125"/>
    <mergeCell ref="I125:K125"/>
    <mergeCell ref="B126:C126"/>
    <mergeCell ref="I126:K126"/>
    <mergeCell ref="B127:C127"/>
    <mergeCell ref="I127:K127"/>
    <mergeCell ref="B122:C122"/>
    <mergeCell ref="I122:K122"/>
    <mergeCell ref="B123:C123"/>
    <mergeCell ref="I123:K123"/>
    <mergeCell ref="B124:C124"/>
    <mergeCell ref="I124:K124"/>
    <mergeCell ref="B119:C119"/>
    <mergeCell ref="I119:K119"/>
    <mergeCell ref="B120:C120"/>
    <mergeCell ref="I120:K120"/>
    <mergeCell ref="B121:C121"/>
    <mergeCell ref="I121:K121"/>
    <mergeCell ref="B116:C116"/>
    <mergeCell ref="I116:K116"/>
    <mergeCell ref="B117:C117"/>
    <mergeCell ref="I117:K117"/>
    <mergeCell ref="B118:C118"/>
    <mergeCell ref="I118:K118"/>
    <mergeCell ref="B113:C113"/>
    <mergeCell ref="I113:K113"/>
    <mergeCell ref="B114:C114"/>
    <mergeCell ref="I114:K114"/>
    <mergeCell ref="B115:C115"/>
    <mergeCell ref="I115:K115"/>
    <mergeCell ref="B110:C110"/>
    <mergeCell ref="I110:K110"/>
    <mergeCell ref="B111:C111"/>
    <mergeCell ref="I111:K111"/>
    <mergeCell ref="B112:C112"/>
    <mergeCell ref="I112:K112"/>
    <mergeCell ref="B107:C107"/>
    <mergeCell ref="I107:K107"/>
    <mergeCell ref="B108:C108"/>
    <mergeCell ref="I108:K108"/>
    <mergeCell ref="B109:C109"/>
    <mergeCell ref="I109:K109"/>
    <mergeCell ref="B104:C104"/>
    <mergeCell ref="I104:K104"/>
    <mergeCell ref="B105:C105"/>
    <mergeCell ref="I105:K105"/>
    <mergeCell ref="B106:C106"/>
    <mergeCell ref="I106:K106"/>
    <mergeCell ref="B101:C101"/>
    <mergeCell ref="I101:K101"/>
    <mergeCell ref="B102:C102"/>
    <mergeCell ref="I102:K102"/>
    <mergeCell ref="B103:C103"/>
    <mergeCell ref="I103:K103"/>
    <mergeCell ref="B98:C98"/>
    <mergeCell ref="I98:K98"/>
    <mergeCell ref="B99:C99"/>
    <mergeCell ref="I99:K99"/>
    <mergeCell ref="B100:C100"/>
    <mergeCell ref="I100:K100"/>
    <mergeCell ref="B95:C95"/>
    <mergeCell ref="I95:K95"/>
    <mergeCell ref="B96:C96"/>
    <mergeCell ref="I96:K96"/>
    <mergeCell ref="B97:C97"/>
    <mergeCell ref="I97:K97"/>
    <mergeCell ref="B92:C92"/>
    <mergeCell ref="I92:K92"/>
    <mergeCell ref="B93:C93"/>
    <mergeCell ref="I93:K93"/>
    <mergeCell ref="B94:C94"/>
    <mergeCell ref="I94:K94"/>
    <mergeCell ref="B89:C89"/>
    <mergeCell ref="I89:K89"/>
    <mergeCell ref="B90:C90"/>
    <mergeCell ref="I90:K90"/>
    <mergeCell ref="B91:C91"/>
    <mergeCell ref="I91:K91"/>
    <mergeCell ref="B86:C86"/>
    <mergeCell ref="I86:K86"/>
    <mergeCell ref="B87:C87"/>
    <mergeCell ref="I87:K87"/>
    <mergeCell ref="B88:C88"/>
    <mergeCell ref="I88:K88"/>
    <mergeCell ref="B83:C83"/>
    <mergeCell ref="I83:K83"/>
    <mergeCell ref="B84:C84"/>
    <mergeCell ref="I84:K84"/>
    <mergeCell ref="B85:C85"/>
    <mergeCell ref="I85:K85"/>
    <mergeCell ref="B80:C80"/>
    <mergeCell ref="I80:K80"/>
    <mergeCell ref="B81:C81"/>
    <mergeCell ref="I81:K81"/>
    <mergeCell ref="B82:C82"/>
    <mergeCell ref="I82:K82"/>
    <mergeCell ref="B77:C77"/>
    <mergeCell ref="I77:K77"/>
    <mergeCell ref="B78:C78"/>
    <mergeCell ref="I78:K78"/>
    <mergeCell ref="B79:C79"/>
    <mergeCell ref="I79:K79"/>
    <mergeCell ref="B74:C74"/>
    <mergeCell ref="I74:K74"/>
    <mergeCell ref="B75:C75"/>
    <mergeCell ref="I75:K75"/>
    <mergeCell ref="B76:C76"/>
    <mergeCell ref="I76:K76"/>
    <mergeCell ref="B71:C71"/>
    <mergeCell ref="I71:K71"/>
    <mergeCell ref="B72:C72"/>
    <mergeCell ref="I72:K72"/>
    <mergeCell ref="B73:C73"/>
    <mergeCell ref="I73:K73"/>
    <mergeCell ref="B68:C68"/>
    <mergeCell ref="I68:K68"/>
    <mergeCell ref="B69:C69"/>
    <mergeCell ref="I69:K69"/>
    <mergeCell ref="B70:C70"/>
    <mergeCell ref="I70:K70"/>
    <mergeCell ref="B65:C65"/>
    <mergeCell ref="I65:K65"/>
    <mergeCell ref="B66:C66"/>
    <mergeCell ref="I66:K66"/>
    <mergeCell ref="B67:C67"/>
    <mergeCell ref="I67:K67"/>
    <mergeCell ref="B62:C62"/>
    <mergeCell ref="I62:K62"/>
    <mergeCell ref="B63:C63"/>
    <mergeCell ref="I63:K63"/>
    <mergeCell ref="B64:C64"/>
    <mergeCell ref="I64:K64"/>
    <mergeCell ref="B59:C59"/>
    <mergeCell ref="I59:K59"/>
    <mergeCell ref="B60:C60"/>
    <mergeCell ref="I60:K60"/>
    <mergeCell ref="B61:C61"/>
    <mergeCell ref="I61:K61"/>
    <mergeCell ref="B56:C56"/>
    <mergeCell ref="I56:K56"/>
    <mergeCell ref="B57:C57"/>
    <mergeCell ref="I57:K57"/>
    <mergeCell ref="B58:C58"/>
    <mergeCell ref="I58:K58"/>
    <mergeCell ref="B53:C53"/>
    <mergeCell ref="I53:K53"/>
    <mergeCell ref="B54:C54"/>
    <mergeCell ref="I54:K54"/>
    <mergeCell ref="B55:C55"/>
    <mergeCell ref="I55:K55"/>
    <mergeCell ref="B50:C50"/>
    <mergeCell ref="I50:K50"/>
    <mergeCell ref="B51:C51"/>
    <mergeCell ref="I51:K51"/>
    <mergeCell ref="B52:C52"/>
    <mergeCell ref="I52:K52"/>
    <mergeCell ref="B47:C47"/>
    <mergeCell ref="I47:K47"/>
    <mergeCell ref="B48:C48"/>
    <mergeCell ref="I48:K48"/>
    <mergeCell ref="B49:C49"/>
    <mergeCell ref="I49:K49"/>
    <mergeCell ref="B44:C44"/>
    <mergeCell ref="I44:K44"/>
    <mergeCell ref="B45:C45"/>
    <mergeCell ref="I45:K45"/>
    <mergeCell ref="B46:C46"/>
    <mergeCell ref="I46:K46"/>
    <mergeCell ref="B41:C41"/>
    <mergeCell ref="I41:K41"/>
    <mergeCell ref="B42:C42"/>
    <mergeCell ref="I42:K42"/>
    <mergeCell ref="B43:C43"/>
    <mergeCell ref="I43:K43"/>
    <mergeCell ref="B38:C38"/>
    <mergeCell ref="I38:K38"/>
    <mergeCell ref="B39:C39"/>
    <mergeCell ref="I39:K39"/>
    <mergeCell ref="B40:C40"/>
    <mergeCell ref="I40:K40"/>
    <mergeCell ref="B35:C35"/>
    <mergeCell ref="I35:K35"/>
    <mergeCell ref="B36:C36"/>
    <mergeCell ref="I36:K36"/>
    <mergeCell ref="B37:C37"/>
    <mergeCell ref="I37:K37"/>
    <mergeCell ref="B32:C32"/>
    <mergeCell ref="I32:K32"/>
    <mergeCell ref="B33:C33"/>
    <mergeCell ref="I33:K33"/>
    <mergeCell ref="B34:C34"/>
    <mergeCell ref="I34:K34"/>
    <mergeCell ref="B29:C29"/>
    <mergeCell ref="I29:K29"/>
    <mergeCell ref="B30:C30"/>
    <mergeCell ref="I30:K30"/>
    <mergeCell ref="B31:C31"/>
    <mergeCell ref="I31:K31"/>
    <mergeCell ref="B26:C26"/>
    <mergeCell ref="I26:K26"/>
    <mergeCell ref="B27:C27"/>
    <mergeCell ref="I27:K27"/>
    <mergeCell ref="B28:C28"/>
    <mergeCell ref="I28:K28"/>
    <mergeCell ref="B23:C23"/>
    <mergeCell ref="I23:K23"/>
    <mergeCell ref="B24:C24"/>
    <mergeCell ref="I24:K24"/>
    <mergeCell ref="B25:C25"/>
    <mergeCell ref="I25:K25"/>
    <mergeCell ref="B20:C20"/>
    <mergeCell ref="I20:K20"/>
    <mergeCell ref="B21:C21"/>
    <mergeCell ref="I21:K21"/>
    <mergeCell ref="B22:C22"/>
    <mergeCell ref="I22:K22"/>
    <mergeCell ref="B17:C17"/>
    <mergeCell ref="I17:K17"/>
    <mergeCell ref="B18:C18"/>
    <mergeCell ref="I18:K18"/>
    <mergeCell ref="B19:C19"/>
    <mergeCell ref="I19:K19"/>
    <mergeCell ref="B14:C14"/>
    <mergeCell ref="I14:K14"/>
    <mergeCell ref="B15:C15"/>
    <mergeCell ref="I15:K15"/>
    <mergeCell ref="B16:C16"/>
    <mergeCell ref="I16:K16"/>
    <mergeCell ref="A9:J9"/>
    <mergeCell ref="A10:J10"/>
    <mergeCell ref="A11:J11"/>
    <mergeCell ref="B12:C12"/>
    <mergeCell ref="I12:K12"/>
    <mergeCell ref="B13:C13"/>
    <mergeCell ref="I13:K13"/>
    <mergeCell ref="A1:B1"/>
    <mergeCell ref="C1:I4"/>
    <mergeCell ref="A5:J5"/>
    <mergeCell ref="A6:J6"/>
    <mergeCell ref="A7:J7"/>
    <mergeCell ref="A8:J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4A1D-5C58-4770-82B0-5F4E4471F9AD}">
  <dimension ref="A1:M241"/>
  <sheetViews>
    <sheetView showGridLines="0" topLeftCell="A44" workbookViewId="0">
      <selection activeCell="J59" sqref="J59"/>
    </sheetView>
  </sheetViews>
  <sheetFormatPr defaultRowHeight="14.4"/>
  <cols>
    <col min="1" max="1" width="13" style="284" customWidth="1"/>
    <col min="2" max="2" width="17.5546875" style="284" customWidth="1"/>
    <col min="3" max="3" width="8.33203125" style="284" customWidth="1"/>
    <col min="4" max="4" width="12.21875" style="284" customWidth="1"/>
    <col min="5" max="5" width="32" style="284" customWidth="1"/>
    <col min="6" max="6" width="13.6640625" style="284" customWidth="1"/>
    <col min="7" max="7" width="38.109375" style="284" customWidth="1"/>
    <col min="8" max="8" width="14.44140625" style="284" customWidth="1"/>
    <col min="9" max="9" width="4.5546875" style="284" customWidth="1"/>
    <col min="10" max="10" width="12.44140625" style="284" bestFit="1" customWidth="1"/>
    <col min="11" max="12" width="8.88671875" style="284"/>
    <col min="13" max="13" width="12.44140625" style="284" bestFit="1" customWidth="1"/>
    <col min="14" max="16384" width="8.88671875" style="284"/>
  </cols>
  <sheetData>
    <row r="1" spans="1:9">
      <c r="A1" s="399" t="s">
        <v>152</v>
      </c>
      <c r="B1" s="399"/>
      <c r="C1" s="400" t="s">
        <v>153</v>
      </c>
      <c r="D1" s="400"/>
      <c r="E1" s="400"/>
      <c r="F1" s="400"/>
      <c r="G1" s="400"/>
      <c r="H1" s="400"/>
    </row>
    <row r="2" spans="1:9">
      <c r="C2" s="400"/>
      <c r="D2" s="400"/>
      <c r="E2" s="400"/>
      <c r="F2" s="400"/>
      <c r="G2" s="400"/>
      <c r="H2" s="400"/>
    </row>
    <row r="3" spans="1:9">
      <c r="C3" s="400"/>
      <c r="D3" s="400"/>
      <c r="E3" s="400"/>
      <c r="F3" s="400"/>
      <c r="G3" s="400"/>
      <c r="H3" s="400"/>
    </row>
    <row r="4" spans="1:9">
      <c r="C4" s="400"/>
      <c r="D4" s="400"/>
      <c r="E4" s="400"/>
      <c r="F4" s="400"/>
      <c r="G4" s="400"/>
      <c r="H4" s="400"/>
    </row>
    <row r="5" spans="1:9" ht="17.399999999999999">
      <c r="A5" s="401" t="s">
        <v>154</v>
      </c>
      <c r="B5" s="401"/>
      <c r="C5" s="401"/>
      <c r="D5" s="401"/>
      <c r="E5" s="401"/>
      <c r="F5" s="401"/>
      <c r="G5" s="401"/>
      <c r="H5" s="401"/>
      <c r="I5" s="401"/>
    </row>
    <row r="6" spans="1:9" ht="17.399999999999999">
      <c r="A6" s="401" t="s">
        <v>155</v>
      </c>
      <c r="B6" s="401"/>
      <c r="C6" s="401"/>
      <c r="D6" s="401"/>
      <c r="E6" s="401"/>
      <c r="F6" s="401"/>
      <c r="G6" s="401"/>
      <c r="H6" s="401"/>
      <c r="I6" s="401"/>
    </row>
    <row r="7" spans="1:9" ht="15.6">
      <c r="A7" s="402" t="s">
        <v>417</v>
      </c>
      <c r="B7" s="402"/>
      <c r="C7" s="402"/>
      <c r="D7" s="402"/>
      <c r="E7" s="402"/>
      <c r="F7" s="402"/>
      <c r="G7" s="402"/>
      <c r="H7" s="402"/>
      <c r="I7" s="402"/>
    </row>
    <row r="8" spans="1:9">
      <c r="A8" s="410" t="s">
        <v>152</v>
      </c>
      <c r="B8" s="410"/>
      <c r="C8" s="410"/>
      <c r="D8" s="410"/>
      <c r="E8" s="410"/>
      <c r="F8" s="410"/>
      <c r="G8" s="410"/>
      <c r="H8" s="410"/>
      <c r="I8" s="410"/>
    </row>
    <row r="9" spans="1:9" ht="15.6">
      <c r="A9" s="390" t="s">
        <v>157</v>
      </c>
      <c r="B9" s="390"/>
      <c r="C9" s="390"/>
      <c r="D9" s="390"/>
      <c r="E9" s="390"/>
      <c r="F9" s="390"/>
      <c r="G9" s="390"/>
      <c r="H9" s="390"/>
      <c r="I9" s="390"/>
    </row>
    <row r="10" spans="1:9" ht="15.6">
      <c r="A10" s="390" t="s">
        <v>158</v>
      </c>
      <c r="B10" s="390"/>
      <c r="C10" s="390"/>
      <c r="D10" s="390"/>
      <c r="E10" s="390"/>
      <c r="F10" s="390"/>
      <c r="G10" s="390"/>
      <c r="H10" s="390"/>
      <c r="I10" s="390"/>
    </row>
    <row r="11" spans="1:9" ht="15.6">
      <c r="A11" s="390" t="s">
        <v>159</v>
      </c>
      <c r="B11" s="390"/>
      <c r="C11" s="390"/>
      <c r="D11" s="390"/>
      <c r="E11" s="390"/>
      <c r="F11" s="390"/>
      <c r="G11" s="390"/>
      <c r="H11" s="390"/>
      <c r="I11" s="390"/>
    </row>
    <row r="12" spans="1:9" ht="15.6">
      <c r="A12" s="390" t="s">
        <v>160</v>
      </c>
      <c r="B12" s="390"/>
      <c r="C12" s="390"/>
      <c r="D12" s="390"/>
      <c r="E12" s="390"/>
      <c r="F12" s="390"/>
      <c r="G12" s="390"/>
      <c r="H12" s="390"/>
      <c r="I12" s="390"/>
    </row>
    <row r="13" spans="1:9" ht="22.8">
      <c r="A13" s="285" t="s">
        <v>161</v>
      </c>
      <c r="B13" s="391" t="s">
        <v>162</v>
      </c>
      <c r="C13" s="392"/>
      <c r="D13" s="285" t="s">
        <v>163</v>
      </c>
      <c r="E13" s="285" t="s">
        <v>164</v>
      </c>
      <c r="F13" s="285" t="s">
        <v>165</v>
      </c>
      <c r="G13" s="285" t="s">
        <v>166</v>
      </c>
      <c r="H13" s="391" t="s">
        <v>168</v>
      </c>
      <c r="I13" s="392"/>
    </row>
    <row r="14" spans="1:9" ht="24">
      <c r="A14" s="286" t="s">
        <v>169</v>
      </c>
      <c r="B14" s="394" t="s">
        <v>170</v>
      </c>
      <c r="C14" s="395"/>
      <c r="D14" s="286" t="s">
        <v>171</v>
      </c>
      <c r="E14" s="286" t="s">
        <v>172</v>
      </c>
      <c r="F14" s="287"/>
      <c r="G14" s="287"/>
      <c r="H14" s="396">
        <v>489258.7</v>
      </c>
      <c r="I14" s="398"/>
    </row>
    <row r="15" spans="1:9">
      <c r="A15" s="286" t="s">
        <v>169</v>
      </c>
      <c r="B15" s="394" t="s">
        <v>170</v>
      </c>
      <c r="C15" s="395"/>
      <c r="D15" s="286" t="s">
        <v>174</v>
      </c>
      <c r="E15" s="286" t="s">
        <v>175</v>
      </c>
      <c r="F15" s="287"/>
      <c r="G15" s="287"/>
      <c r="H15" s="396">
        <v>12246497.98</v>
      </c>
      <c r="I15" s="398"/>
    </row>
    <row r="16" spans="1:9" ht="24">
      <c r="A16" s="286" t="s">
        <v>169</v>
      </c>
      <c r="B16" s="394" t="s">
        <v>170</v>
      </c>
      <c r="C16" s="395"/>
      <c r="D16" s="286" t="s">
        <v>418</v>
      </c>
      <c r="E16" s="286" t="s">
        <v>419</v>
      </c>
      <c r="F16" s="287"/>
      <c r="G16" s="287"/>
      <c r="H16" s="396">
        <v>60729.99</v>
      </c>
      <c r="I16" s="398"/>
    </row>
    <row r="17" spans="1:10" ht="24">
      <c r="A17" s="286" t="s">
        <v>169</v>
      </c>
      <c r="B17" s="394" t="s">
        <v>170</v>
      </c>
      <c r="C17" s="395"/>
      <c r="D17" s="286" t="s">
        <v>176</v>
      </c>
      <c r="E17" s="286" t="s">
        <v>177</v>
      </c>
      <c r="F17" s="287"/>
      <c r="G17" s="287"/>
      <c r="H17" s="396">
        <v>1085159.92</v>
      </c>
      <c r="I17" s="398"/>
    </row>
    <row r="18" spans="1:10" ht="24">
      <c r="A18" s="286" t="s">
        <v>169</v>
      </c>
      <c r="B18" s="394" t="s">
        <v>170</v>
      </c>
      <c r="C18" s="395"/>
      <c r="D18" s="286" t="s">
        <v>420</v>
      </c>
      <c r="E18" s="286" t="s">
        <v>421</v>
      </c>
      <c r="F18" s="287"/>
      <c r="G18" s="287"/>
      <c r="H18" s="396">
        <v>55781.75</v>
      </c>
      <c r="I18" s="398"/>
    </row>
    <row r="19" spans="1:10">
      <c r="A19" s="286" t="s">
        <v>169</v>
      </c>
      <c r="B19" s="394" t="s">
        <v>170</v>
      </c>
      <c r="C19" s="395"/>
      <c r="D19" s="286" t="s">
        <v>178</v>
      </c>
      <c r="E19" s="286" t="s">
        <v>179</v>
      </c>
      <c r="F19" s="287"/>
      <c r="G19" s="287"/>
      <c r="H19" s="396">
        <v>5247994.8</v>
      </c>
      <c r="I19" s="398"/>
    </row>
    <row r="20" spans="1:10" ht="24">
      <c r="A20" s="286" t="s">
        <v>169</v>
      </c>
      <c r="B20" s="394" t="s">
        <v>170</v>
      </c>
      <c r="C20" s="395"/>
      <c r="D20" s="286" t="s">
        <v>180</v>
      </c>
      <c r="E20" s="286" t="s">
        <v>181</v>
      </c>
      <c r="F20" s="287"/>
      <c r="G20" s="287"/>
      <c r="H20" s="396">
        <v>6309847.4699999997</v>
      </c>
      <c r="I20" s="398"/>
    </row>
    <row r="21" spans="1:10">
      <c r="A21" s="286" t="s">
        <v>169</v>
      </c>
      <c r="B21" s="394" t="s">
        <v>170</v>
      </c>
      <c r="C21" s="395"/>
      <c r="D21" s="286" t="s">
        <v>182</v>
      </c>
      <c r="E21" s="286" t="s">
        <v>183</v>
      </c>
      <c r="F21" s="287"/>
      <c r="G21" s="287"/>
      <c r="H21" s="396">
        <v>1194584.5</v>
      </c>
      <c r="I21" s="398"/>
    </row>
    <row r="22" spans="1:10">
      <c r="A22" s="286" t="s">
        <v>169</v>
      </c>
      <c r="B22" s="394" t="s">
        <v>170</v>
      </c>
      <c r="C22" s="395"/>
      <c r="D22" s="286" t="s">
        <v>184</v>
      </c>
      <c r="E22" s="286" t="s">
        <v>185</v>
      </c>
      <c r="F22" s="287"/>
      <c r="G22" s="287"/>
      <c r="H22" s="396">
        <v>674457.71</v>
      </c>
      <c r="I22" s="398"/>
    </row>
    <row r="23" spans="1:10">
      <c r="A23" s="286" t="s">
        <v>169</v>
      </c>
      <c r="B23" s="394" t="s">
        <v>170</v>
      </c>
      <c r="C23" s="395"/>
      <c r="D23" s="286" t="s">
        <v>186</v>
      </c>
      <c r="E23" s="286" t="s">
        <v>187</v>
      </c>
      <c r="F23" s="287"/>
      <c r="G23" s="287"/>
      <c r="H23" s="396">
        <v>294872.51</v>
      </c>
      <c r="I23" s="398"/>
    </row>
    <row r="24" spans="1:10">
      <c r="A24" s="286" t="s">
        <v>169</v>
      </c>
      <c r="B24" s="394" t="s">
        <v>170</v>
      </c>
      <c r="C24" s="395"/>
      <c r="D24" s="286" t="s">
        <v>188</v>
      </c>
      <c r="E24" s="286" t="s">
        <v>189</v>
      </c>
      <c r="F24" s="287"/>
      <c r="G24" s="287"/>
      <c r="H24" s="396">
        <v>807608.47</v>
      </c>
      <c r="I24" s="398"/>
    </row>
    <row r="25" spans="1:10" s="290" customFormat="1" ht="48">
      <c r="A25" s="288" t="s">
        <v>169</v>
      </c>
      <c r="B25" s="403" t="s">
        <v>170</v>
      </c>
      <c r="C25" s="404"/>
      <c r="D25" s="288" t="s">
        <v>190</v>
      </c>
      <c r="E25" s="288" t="s">
        <v>191</v>
      </c>
      <c r="F25" s="289"/>
      <c r="G25" s="289"/>
      <c r="H25" s="405">
        <v>3839681.9</v>
      </c>
      <c r="I25" s="407"/>
    </row>
    <row r="26" spans="1:10" s="290" customFormat="1" ht="24">
      <c r="A26" s="288" t="s">
        <v>169</v>
      </c>
      <c r="B26" s="403" t="s">
        <v>170</v>
      </c>
      <c r="C26" s="404"/>
      <c r="D26" s="288" t="s">
        <v>192</v>
      </c>
      <c r="E26" s="288" t="s">
        <v>193</v>
      </c>
      <c r="F26" s="289"/>
      <c r="G26" s="289"/>
      <c r="H26" s="405">
        <v>10019000</v>
      </c>
      <c r="I26" s="407"/>
      <c r="J26" s="291">
        <f>SUM(H25:I26)</f>
        <v>13858681.9</v>
      </c>
    </row>
    <row r="27" spans="1:10">
      <c r="A27" s="286" t="s">
        <v>169</v>
      </c>
      <c r="B27" s="394" t="s">
        <v>170</v>
      </c>
      <c r="C27" s="395"/>
      <c r="D27" s="286" t="s">
        <v>194</v>
      </c>
      <c r="E27" s="286" t="s">
        <v>195</v>
      </c>
      <c r="F27" s="287"/>
      <c r="G27" s="287"/>
      <c r="H27" s="396">
        <v>2968941.5</v>
      </c>
      <c r="I27" s="398"/>
    </row>
    <row r="28" spans="1:10">
      <c r="A28" s="286" t="s">
        <v>169</v>
      </c>
      <c r="B28" s="394" t="s">
        <v>170</v>
      </c>
      <c r="C28" s="395"/>
      <c r="D28" s="286" t="s">
        <v>196</v>
      </c>
      <c r="E28" s="286" t="s">
        <v>197</v>
      </c>
      <c r="F28" s="287"/>
      <c r="G28" s="287"/>
      <c r="H28" s="396">
        <v>16337.09</v>
      </c>
      <c r="I28" s="398"/>
    </row>
    <row r="29" spans="1:10" ht="24">
      <c r="A29" s="286" t="s">
        <v>169</v>
      </c>
      <c r="B29" s="394" t="s">
        <v>170</v>
      </c>
      <c r="C29" s="395"/>
      <c r="D29" s="286" t="s">
        <v>198</v>
      </c>
      <c r="E29" s="286" t="s">
        <v>199</v>
      </c>
      <c r="F29" s="287"/>
      <c r="G29" s="287"/>
      <c r="H29" s="396">
        <v>1290985.75</v>
      </c>
      <c r="I29" s="398"/>
    </row>
    <row r="30" spans="1:10" ht="24">
      <c r="A30" s="286" t="s">
        <v>169</v>
      </c>
      <c r="B30" s="394" t="s">
        <v>170</v>
      </c>
      <c r="C30" s="395"/>
      <c r="D30" s="286" t="s">
        <v>200</v>
      </c>
      <c r="E30" s="286" t="s">
        <v>201</v>
      </c>
      <c r="F30" s="287"/>
      <c r="G30" s="287"/>
      <c r="H30" s="396">
        <v>418154.2</v>
      </c>
      <c r="I30" s="398"/>
    </row>
    <row r="31" spans="1:10" ht="24">
      <c r="A31" s="286" t="s">
        <v>169</v>
      </c>
      <c r="B31" s="394" t="s">
        <v>170</v>
      </c>
      <c r="C31" s="395"/>
      <c r="D31" s="286" t="s">
        <v>202</v>
      </c>
      <c r="E31" s="286" t="s">
        <v>203</v>
      </c>
      <c r="F31" s="287"/>
      <c r="G31" s="287"/>
      <c r="H31" s="396">
        <v>2955683.8399999999</v>
      </c>
      <c r="I31" s="398"/>
    </row>
    <row r="32" spans="1:10" ht="36">
      <c r="A32" s="286" t="s">
        <v>169</v>
      </c>
      <c r="B32" s="394" t="s">
        <v>170</v>
      </c>
      <c r="C32" s="395"/>
      <c r="D32" s="286" t="s">
        <v>204</v>
      </c>
      <c r="E32" s="286" t="s">
        <v>205</v>
      </c>
      <c r="F32" s="287"/>
      <c r="G32" s="287"/>
      <c r="H32" s="396">
        <v>590252.13</v>
      </c>
      <c r="I32" s="398"/>
    </row>
    <row r="33" spans="1:10" ht="24">
      <c r="A33" s="286" t="s">
        <v>169</v>
      </c>
      <c r="B33" s="394" t="s">
        <v>170</v>
      </c>
      <c r="C33" s="395"/>
      <c r="D33" s="286" t="s">
        <v>208</v>
      </c>
      <c r="E33" s="286" t="s">
        <v>209</v>
      </c>
      <c r="F33" s="287"/>
      <c r="G33" s="287"/>
      <c r="H33" s="396">
        <v>1062700.25</v>
      </c>
      <c r="I33" s="398"/>
    </row>
    <row r="34" spans="1:10">
      <c r="A34" s="286" t="s">
        <v>169</v>
      </c>
      <c r="B34" s="394" t="s">
        <v>170</v>
      </c>
      <c r="C34" s="395"/>
      <c r="D34" s="286" t="s">
        <v>210</v>
      </c>
      <c r="E34" s="286" t="s">
        <v>211</v>
      </c>
      <c r="F34" s="287"/>
      <c r="G34" s="287"/>
      <c r="H34" s="396">
        <v>16247</v>
      </c>
      <c r="I34" s="398"/>
    </row>
    <row r="35" spans="1:10" ht="24">
      <c r="A35" s="286" t="s">
        <v>169</v>
      </c>
      <c r="B35" s="394" t="s">
        <v>170</v>
      </c>
      <c r="C35" s="395"/>
      <c r="D35" s="286" t="s">
        <v>212</v>
      </c>
      <c r="E35" s="286" t="s">
        <v>213</v>
      </c>
      <c r="F35" s="287"/>
      <c r="G35" s="287"/>
      <c r="H35" s="396">
        <v>160839.4</v>
      </c>
      <c r="I35" s="398"/>
    </row>
    <row r="36" spans="1:10" ht="24">
      <c r="A36" s="286" t="s">
        <v>169</v>
      </c>
      <c r="B36" s="394" t="s">
        <v>170</v>
      </c>
      <c r="C36" s="395"/>
      <c r="D36" s="286" t="s">
        <v>214</v>
      </c>
      <c r="E36" s="286" t="s">
        <v>215</v>
      </c>
      <c r="F36" s="287"/>
      <c r="G36" s="287"/>
      <c r="H36" s="396">
        <v>109612.33</v>
      </c>
      <c r="I36" s="398"/>
    </row>
    <row r="37" spans="1:10">
      <c r="A37" s="286" t="s">
        <v>169</v>
      </c>
      <c r="B37" s="394" t="s">
        <v>170</v>
      </c>
      <c r="C37" s="395"/>
      <c r="D37" s="286" t="s">
        <v>422</v>
      </c>
      <c r="E37" s="286" t="s">
        <v>423</v>
      </c>
      <c r="F37" s="287"/>
      <c r="G37" s="287"/>
      <c r="H37" s="396">
        <v>883.26</v>
      </c>
      <c r="I37" s="398"/>
    </row>
    <row r="38" spans="1:10" ht="24">
      <c r="A38" s="286" t="s">
        <v>169</v>
      </c>
      <c r="B38" s="394" t="s">
        <v>170</v>
      </c>
      <c r="C38" s="395"/>
      <c r="D38" s="286" t="s">
        <v>216</v>
      </c>
      <c r="E38" s="286" t="s">
        <v>217</v>
      </c>
      <c r="F38" s="287"/>
      <c r="G38" s="287"/>
      <c r="H38" s="396">
        <v>857983.75</v>
      </c>
      <c r="I38" s="398"/>
    </row>
    <row r="39" spans="1:10" ht="24">
      <c r="A39" s="286" t="s">
        <v>169</v>
      </c>
      <c r="B39" s="394" t="s">
        <v>170</v>
      </c>
      <c r="C39" s="395"/>
      <c r="D39" s="286" t="s">
        <v>218</v>
      </c>
      <c r="E39" s="286" t="s">
        <v>219</v>
      </c>
      <c r="F39" s="287"/>
      <c r="G39" s="287"/>
      <c r="H39" s="396">
        <v>560</v>
      </c>
      <c r="I39" s="398"/>
    </row>
    <row r="40" spans="1:10">
      <c r="A40" s="286" t="s">
        <v>169</v>
      </c>
      <c r="B40" s="394" t="s">
        <v>170</v>
      </c>
      <c r="C40" s="395"/>
      <c r="D40" s="286" t="s">
        <v>220</v>
      </c>
      <c r="E40" s="286" t="s">
        <v>221</v>
      </c>
      <c r="F40" s="287"/>
      <c r="G40" s="287"/>
      <c r="H40" s="396">
        <v>1622809.66</v>
      </c>
      <c r="I40" s="398"/>
    </row>
    <row r="41" spans="1:10">
      <c r="A41" s="286" t="s">
        <v>169</v>
      </c>
      <c r="B41" s="394" t="s">
        <v>170</v>
      </c>
      <c r="C41" s="395"/>
      <c r="D41" s="286" t="s">
        <v>222</v>
      </c>
      <c r="E41" s="286" t="s">
        <v>223</v>
      </c>
      <c r="F41" s="287"/>
      <c r="G41" s="287"/>
      <c r="H41" s="396">
        <v>1668879.3600000001</v>
      </c>
      <c r="I41" s="398"/>
    </row>
    <row r="42" spans="1:10" s="295" customFormat="1">
      <c r="A42" s="292" t="s">
        <v>169</v>
      </c>
      <c r="B42" s="412" t="s">
        <v>170</v>
      </c>
      <c r="C42" s="413"/>
      <c r="D42" s="292" t="s">
        <v>424</v>
      </c>
      <c r="E42" s="292" t="s">
        <v>425</v>
      </c>
      <c r="F42" s="293"/>
      <c r="G42" s="293"/>
      <c r="H42" s="414">
        <v>42000</v>
      </c>
      <c r="I42" s="415"/>
      <c r="J42" s="294">
        <f>H42</f>
        <v>42000</v>
      </c>
    </row>
    <row r="43" spans="1:10" ht="36">
      <c r="A43" s="286" t="s">
        <v>169</v>
      </c>
      <c r="B43" s="394" t="s">
        <v>170</v>
      </c>
      <c r="C43" s="395"/>
      <c r="D43" s="286" t="s">
        <v>426</v>
      </c>
      <c r="E43" s="286" t="s">
        <v>427</v>
      </c>
      <c r="F43" s="287"/>
      <c r="G43" s="287"/>
      <c r="H43" s="396">
        <v>-3457804.92</v>
      </c>
      <c r="I43" s="398"/>
    </row>
    <row r="44" spans="1:10">
      <c r="A44" s="286" t="s">
        <v>169</v>
      </c>
      <c r="B44" s="394" t="s">
        <v>170</v>
      </c>
      <c r="C44" s="395"/>
      <c r="D44" s="286" t="s">
        <v>428</v>
      </c>
      <c r="E44" s="286" t="s">
        <v>429</v>
      </c>
      <c r="F44" s="287"/>
      <c r="G44" s="287"/>
      <c r="H44" s="396">
        <v>3457804.92</v>
      </c>
      <c r="I44" s="398"/>
    </row>
    <row r="45" spans="1:10" ht="24">
      <c r="A45" s="286" t="s">
        <v>169</v>
      </c>
      <c r="B45" s="394" t="s">
        <v>170</v>
      </c>
      <c r="C45" s="395"/>
      <c r="D45" s="286" t="s">
        <v>430</v>
      </c>
      <c r="E45" s="286" t="s">
        <v>431</v>
      </c>
      <c r="F45" s="287"/>
      <c r="G45" s="287"/>
      <c r="H45" s="396">
        <v>147324.21</v>
      </c>
      <c r="I45" s="398"/>
    </row>
    <row r="46" spans="1:10" ht="24">
      <c r="A46" s="286" t="s">
        <v>169</v>
      </c>
      <c r="B46" s="394" t="s">
        <v>170</v>
      </c>
      <c r="C46" s="395"/>
      <c r="D46" s="286" t="s">
        <v>227</v>
      </c>
      <c r="E46" s="286" t="s">
        <v>228</v>
      </c>
      <c r="F46" s="287"/>
      <c r="G46" s="287"/>
      <c r="H46" s="396">
        <v>31200.36</v>
      </c>
      <c r="I46" s="398"/>
    </row>
    <row r="47" spans="1:10" s="295" customFormat="1" ht="36">
      <c r="A47" s="292" t="s">
        <v>169</v>
      </c>
      <c r="B47" s="412" t="s">
        <v>170</v>
      </c>
      <c r="C47" s="413"/>
      <c r="D47" s="292" t="s">
        <v>229</v>
      </c>
      <c r="E47" s="292" t="s">
        <v>230</v>
      </c>
      <c r="F47" s="293"/>
      <c r="G47" s="293"/>
      <c r="H47" s="414">
        <v>17831398.489999998</v>
      </c>
      <c r="I47" s="415"/>
      <c r="J47" s="294">
        <f>H47+H46</f>
        <v>17862598.849999998</v>
      </c>
    </row>
    <row r="48" spans="1:10" s="290" customFormat="1" ht="48">
      <c r="A48" s="288" t="s">
        <v>169</v>
      </c>
      <c r="B48" s="403" t="s">
        <v>170</v>
      </c>
      <c r="C48" s="404"/>
      <c r="D48" s="288" t="s">
        <v>231</v>
      </c>
      <c r="E48" s="288" t="s">
        <v>232</v>
      </c>
      <c r="F48" s="289"/>
      <c r="G48" s="289"/>
      <c r="H48" s="405">
        <v>95996</v>
      </c>
      <c r="I48" s="407"/>
    </row>
    <row r="49" spans="1:13" s="290" customFormat="1" ht="36">
      <c r="A49" s="288" t="s">
        <v>169</v>
      </c>
      <c r="B49" s="403" t="s">
        <v>170</v>
      </c>
      <c r="C49" s="404"/>
      <c r="D49" s="288" t="s">
        <v>233</v>
      </c>
      <c r="E49" s="288" t="s">
        <v>234</v>
      </c>
      <c r="F49" s="289"/>
      <c r="G49" s="289"/>
      <c r="H49" s="405">
        <v>153320</v>
      </c>
      <c r="I49" s="407"/>
    </row>
    <row r="50" spans="1:13" s="290" customFormat="1" ht="60">
      <c r="A50" s="288" t="s">
        <v>169</v>
      </c>
      <c r="B50" s="403" t="s">
        <v>170</v>
      </c>
      <c r="C50" s="404"/>
      <c r="D50" s="288" t="s">
        <v>432</v>
      </c>
      <c r="E50" s="288" t="s">
        <v>433</v>
      </c>
      <c r="F50" s="289"/>
      <c r="G50" s="289"/>
      <c r="H50" s="405">
        <v>135014.66</v>
      </c>
      <c r="I50" s="407"/>
    </row>
    <row r="51" spans="1:13" s="290" customFormat="1" ht="24">
      <c r="A51" s="288" t="s">
        <v>169</v>
      </c>
      <c r="B51" s="403" t="s">
        <v>170</v>
      </c>
      <c r="C51" s="404"/>
      <c r="D51" s="288" t="s">
        <v>434</v>
      </c>
      <c r="E51" s="288" t="s">
        <v>435</v>
      </c>
      <c r="F51" s="289"/>
      <c r="G51" s="289"/>
      <c r="H51" s="405">
        <v>521489.86</v>
      </c>
      <c r="I51" s="407"/>
    </row>
    <row r="52" spans="1:13" s="290" customFormat="1" ht="24">
      <c r="A52" s="288" t="s">
        <v>169</v>
      </c>
      <c r="B52" s="403" t="s">
        <v>170</v>
      </c>
      <c r="C52" s="404"/>
      <c r="D52" s="288" t="s">
        <v>436</v>
      </c>
      <c r="E52" s="288" t="s">
        <v>244</v>
      </c>
      <c r="F52" s="289"/>
      <c r="G52" s="289"/>
      <c r="H52" s="405">
        <v>39880.230000000003</v>
      </c>
      <c r="I52" s="407"/>
      <c r="J52" s="291">
        <f>SUM(H48:I53)</f>
        <v>12741165.050000001</v>
      </c>
    </row>
    <row r="53" spans="1:13" s="290" customFormat="1">
      <c r="A53" s="288" t="s">
        <v>169</v>
      </c>
      <c r="B53" s="403" t="s">
        <v>170</v>
      </c>
      <c r="C53" s="404"/>
      <c r="D53" s="288" t="s">
        <v>247</v>
      </c>
      <c r="E53" s="288" t="s">
        <v>246</v>
      </c>
      <c r="F53" s="289"/>
      <c r="G53" s="289"/>
      <c r="H53" s="405">
        <v>11795464.300000001</v>
      </c>
      <c r="I53" s="407"/>
      <c r="J53" s="291">
        <f>SUM(H14:I53)</f>
        <v>86859433.329999998</v>
      </c>
      <c r="M53" s="291">
        <f>J53-J52-J47-J42-J26</f>
        <v>42354987.530000009</v>
      </c>
    </row>
    <row r="54" spans="1:13">
      <c r="A54" s="286" t="s">
        <v>169</v>
      </c>
      <c r="B54" s="394" t="s">
        <v>248</v>
      </c>
      <c r="C54" s="395"/>
      <c r="D54" s="286" t="s">
        <v>249</v>
      </c>
      <c r="E54" s="286" t="s">
        <v>250</v>
      </c>
      <c r="F54" s="287"/>
      <c r="G54" s="287"/>
      <c r="H54" s="396">
        <v>1634106.31</v>
      </c>
      <c r="I54" s="398"/>
    </row>
    <row r="55" spans="1:13" ht="24">
      <c r="A55" s="286" t="s">
        <v>169</v>
      </c>
      <c r="B55" s="394" t="s">
        <v>256</v>
      </c>
      <c r="C55" s="395"/>
      <c r="D55" s="286" t="s">
        <v>208</v>
      </c>
      <c r="E55" s="286" t="s">
        <v>209</v>
      </c>
      <c r="F55" s="287"/>
      <c r="G55" s="287"/>
      <c r="H55" s="396">
        <v>1800</v>
      </c>
      <c r="I55" s="398"/>
    </row>
    <row r="56" spans="1:13">
      <c r="A56" s="286" t="s">
        <v>169</v>
      </c>
      <c r="B56" s="394" t="s">
        <v>256</v>
      </c>
      <c r="C56" s="395"/>
      <c r="D56" s="286" t="s">
        <v>257</v>
      </c>
      <c r="E56" s="286" t="s">
        <v>258</v>
      </c>
      <c r="F56" s="287"/>
      <c r="G56" s="287"/>
      <c r="H56" s="396">
        <v>292326.83</v>
      </c>
      <c r="I56" s="398"/>
    </row>
    <row r="57" spans="1:13" ht="24">
      <c r="A57" s="286" t="s">
        <v>259</v>
      </c>
      <c r="B57" s="408"/>
      <c r="C57" s="409"/>
      <c r="D57" s="287"/>
      <c r="E57" s="287"/>
      <c r="F57" s="287"/>
      <c r="G57" s="287"/>
      <c r="H57" s="396">
        <v>88787666.469999999</v>
      </c>
      <c r="I57" s="398"/>
    </row>
    <row r="58" spans="1:13">
      <c r="A58" s="286" t="s">
        <v>260</v>
      </c>
      <c r="B58" s="394" t="s">
        <v>170</v>
      </c>
      <c r="C58" s="395"/>
      <c r="D58" s="286" t="s">
        <v>261</v>
      </c>
      <c r="E58" s="286" t="s">
        <v>262</v>
      </c>
      <c r="F58" s="286" t="s">
        <v>263</v>
      </c>
      <c r="G58" s="286" t="s">
        <v>264</v>
      </c>
      <c r="H58" s="396">
        <v>4996852</v>
      </c>
      <c r="I58" s="398"/>
    </row>
    <row r="59" spans="1:13">
      <c r="A59" s="286" t="s">
        <v>260</v>
      </c>
      <c r="B59" s="394" t="s">
        <v>170</v>
      </c>
      <c r="C59" s="395"/>
      <c r="D59" s="286" t="s">
        <v>261</v>
      </c>
      <c r="E59" s="286" t="s">
        <v>262</v>
      </c>
      <c r="F59" s="286" t="s">
        <v>265</v>
      </c>
      <c r="G59" s="286" t="s">
        <v>266</v>
      </c>
      <c r="H59" s="396">
        <v>25431</v>
      </c>
      <c r="I59" s="398"/>
    </row>
    <row r="60" spans="1:13">
      <c r="A60" s="286" t="s">
        <v>260</v>
      </c>
      <c r="B60" s="394" t="s">
        <v>170</v>
      </c>
      <c r="C60" s="395"/>
      <c r="D60" s="286" t="s">
        <v>261</v>
      </c>
      <c r="E60" s="286" t="s">
        <v>262</v>
      </c>
      <c r="F60" s="286" t="s">
        <v>267</v>
      </c>
      <c r="G60" s="286" t="s">
        <v>268</v>
      </c>
      <c r="H60" s="396">
        <v>131039</v>
      </c>
      <c r="I60" s="398"/>
    </row>
    <row r="61" spans="1:13">
      <c r="A61" s="286" t="s">
        <v>260</v>
      </c>
      <c r="B61" s="394" t="s">
        <v>170</v>
      </c>
      <c r="C61" s="395"/>
      <c r="D61" s="286" t="s">
        <v>261</v>
      </c>
      <c r="E61" s="286" t="s">
        <v>262</v>
      </c>
      <c r="F61" s="286" t="s">
        <v>269</v>
      </c>
      <c r="G61" s="286" t="s">
        <v>270</v>
      </c>
      <c r="H61" s="396">
        <v>176298</v>
      </c>
      <c r="I61" s="398"/>
    </row>
    <row r="62" spans="1:13">
      <c r="A62" s="286" t="s">
        <v>260</v>
      </c>
      <c r="B62" s="394" t="s">
        <v>170</v>
      </c>
      <c r="C62" s="395"/>
      <c r="D62" s="286" t="s">
        <v>261</v>
      </c>
      <c r="E62" s="286" t="s">
        <v>262</v>
      </c>
      <c r="F62" s="286" t="s">
        <v>271</v>
      </c>
      <c r="G62" s="286" t="s">
        <v>272</v>
      </c>
      <c r="H62" s="396">
        <v>73550</v>
      </c>
      <c r="I62" s="398"/>
    </row>
    <row r="63" spans="1:13">
      <c r="A63" s="286" t="s">
        <v>260</v>
      </c>
      <c r="B63" s="394" t="s">
        <v>170</v>
      </c>
      <c r="C63" s="395"/>
      <c r="D63" s="286" t="s">
        <v>261</v>
      </c>
      <c r="E63" s="286" t="s">
        <v>262</v>
      </c>
      <c r="F63" s="286" t="s">
        <v>273</v>
      </c>
      <c r="G63" s="286" t="s">
        <v>274</v>
      </c>
      <c r="H63" s="396">
        <v>117799</v>
      </c>
      <c r="I63" s="398"/>
    </row>
    <row r="64" spans="1:13">
      <c r="A64" s="286" t="s">
        <v>260</v>
      </c>
      <c r="B64" s="394" t="s">
        <v>170</v>
      </c>
      <c r="C64" s="395"/>
      <c r="D64" s="286" t="s">
        <v>261</v>
      </c>
      <c r="E64" s="286" t="s">
        <v>262</v>
      </c>
      <c r="F64" s="286" t="s">
        <v>279</v>
      </c>
      <c r="G64" s="286" t="s">
        <v>280</v>
      </c>
      <c r="H64" s="396">
        <v>108568.8</v>
      </c>
      <c r="I64" s="398"/>
    </row>
    <row r="65" spans="1:9">
      <c r="A65" s="286" t="s">
        <v>260</v>
      </c>
      <c r="B65" s="394" t="s">
        <v>170</v>
      </c>
      <c r="C65" s="395"/>
      <c r="D65" s="286" t="s">
        <v>261</v>
      </c>
      <c r="E65" s="286" t="s">
        <v>262</v>
      </c>
      <c r="F65" s="286" t="s">
        <v>281</v>
      </c>
      <c r="G65" s="286" t="s">
        <v>282</v>
      </c>
      <c r="H65" s="396">
        <v>7433.97</v>
      </c>
      <c r="I65" s="398"/>
    </row>
    <row r="66" spans="1:9">
      <c r="A66" s="286" t="s">
        <v>260</v>
      </c>
      <c r="B66" s="394" t="s">
        <v>170</v>
      </c>
      <c r="C66" s="395"/>
      <c r="D66" s="286" t="s">
        <v>261</v>
      </c>
      <c r="E66" s="286" t="s">
        <v>262</v>
      </c>
      <c r="F66" s="286" t="s">
        <v>283</v>
      </c>
      <c r="G66" s="286" t="s">
        <v>437</v>
      </c>
      <c r="H66" s="396">
        <v>18341.16</v>
      </c>
      <c r="I66" s="398"/>
    </row>
    <row r="67" spans="1:9">
      <c r="A67" s="286" t="s">
        <v>260</v>
      </c>
      <c r="B67" s="394" t="s">
        <v>170</v>
      </c>
      <c r="C67" s="395"/>
      <c r="D67" s="286" t="s">
        <v>261</v>
      </c>
      <c r="E67" s="286" t="s">
        <v>262</v>
      </c>
      <c r="F67" s="286" t="s">
        <v>285</v>
      </c>
      <c r="G67" s="286" t="s">
        <v>286</v>
      </c>
      <c r="H67" s="396">
        <v>314431.92</v>
      </c>
      <c r="I67" s="398"/>
    </row>
    <row r="68" spans="1:9">
      <c r="A68" s="286" t="s">
        <v>260</v>
      </c>
      <c r="B68" s="394" t="s">
        <v>170</v>
      </c>
      <c r="C68" s="395"/>
      <c r="D68" s="286" t="s">
        <v>261</v>
      </c>
      <c r="E68" s="286" t="s">
        <v>262</v>
      </c>
      <c r="F68" s="286" t="s">
        <v>287</v>
      </c>
      <c r="G68" s="286" t="s">
        <v>288</v>
      </c>
      <c r="H68" s="396">
        <v>3325910.7</v>
      </c>
      <c r="I68" s="398"/>
    </row>
    <row r="69" spans="1:9">
      <c r="A69" s="286" t="s">
        <v>260</v>
      </c>
      <c r="B69" s="394" t="s">
        <v>170</v>
      </c>
      <c r="C69" s="395"/>
      <c r="D69" s="286" t="s">
        <v>261</v>
      </c>
      <c r="E69" s="286" t="s">
        <v>262</v>
      </c>
      <c r="F69" s="286" t="s">
        <v>291</v>
      </c>
      <c r="G69" s="286" t="s">
        <v>292</v>
      </c>
      <c r="H69" s="396">
        <v>6418.36</v>
      </c>
      <c r="I69" s="398"/>
    </row>
    <row r="70" spans="1:9">
      <c r="A70" s="286" t="s">
        <v>260</v>
      </c>
      <c r="B70" s="394" t="s">
        <v>170</v>
      </c>
      <c r="C70" s="395"/>
      <c r="D70" s="286" t="s">
        <v>261</v>
      </c>
      <c r="E70" s="286" t="s">
        <v>262</v>
      </c>
      <c r="F70" s="286" t="s">
        <v>293</v>
      </c>
      <c r="G70" s="286" t="s">
        <v>294</v>
      </c>
      <c r="H70" s="396">
        <v>33521.67</v>
      </c>
      <c r="I70" s="398"/>
    </row>
    <row r="71" spans="1:9">
      <c r="A71" s="286" t="s">
        <v>260</v>
      </c>
      <c r="B71" s="394" t="s">
        <v>170</v>
      </c>
      <c r="C71" s="395"/>
      <c r="D71" s="286" t="s">
        <v>261</v>
      </c>
      <c r="E71" s="286" t="s">
        <v>262</v>
      </c>
      <c r="F71" s="286" t="s">
        <v>335</v>
      </c>
      <c r="G71" s="286" t="s">
        <v>336</v>
      </c>
      <c r="H71" s="396">
        <v>26299</v>
      </c>
      <c r="I71" s="398"/>
    </row>
    <row r="72" spans="1:9">
      <c r="A72" s="286" t="s">
        <v>260</v>
      </c>
      <c r="B72" s="394" t="s">
        <v>170</v>
      </c>
      <c r="C72" s="395"/>
      <c r="D72" s="286" t="s">
        <v>261</v>
      </c>
      <c r="E72" s="286" t="s">
        <v>262</v>
      </c>
      <c r="F72" s="286" t="s">
        <v>295</v>
      </c>
      <c r="G72" s="286" t="s">
        <v>296</v>
      </c>
      <c r="H72" s="396">
        <v>1200</v>
      </c>
      <c r="I72" s="398"/>
    </row>
    <row r="73" spans="1:9">
      <c r="A73" s="286" t="s">
        <v>260</v>
      </c>
      <c r="B73" s="394" t="s">
        <v>170</v>
      </c>
      <c r="C73" s="395"/>
      <c r="D73" s="286" t="s">
        <v>261</v>
      </c>
      <c r="E73" s="286" t="s">
        <v>262</v>
      </c>
      <c r="F73" s="286" t="s">
        <v>303</v>
      </c>
      <c r="G73" s="286" t="s">
        <v>304</v>
      </c>
      <c r="H73" s="396">
        <v>95762</v>
      </c>
      <c r="I73" s="398"/>
    </row>
    <row r="74" spans="1:9">
      <c r="A74" s="286" t="s">
        <v>260</v>
      </c>
      <c r="B74" s="394" t="s">
        <v>170</v>
      </c>
      <c r="C74" s="395"/>
      <c r="D74" s="286" t="s">
        <v>261</v>
      </c>
      <c r="E74" s="286" t="s">
        <v>262</v>
      </c>
      <c r="F74" s="286" t="s">
        <v>393</v>
      </c>
      <c r="G74" s="286" t="s">
        <v>394</v>
      </c>
      <c r="H74" s="396">
        <v>35700</v>
      </c>
      <c r="I74" s="398"/>
    </row>
    <row r="75" spans="1:9">
      <c r="A75" s="286" t="s">
        <v>260</v>
      </c>
      <c r="B75" s="394" t="s">
        <v>170</v>
      </c>
      <c r="C75" s="395"/>
      <c r="D75" s="286" t="s">
        <v>261</v>
      </c>
      <c r="E75" s="286" t="s">
        <v>262</v>
      </c>
      <c r="F75" s="286" t="s">
        <v>305</v>
      </c>
      <c r="G75" s="286" t="s">
        <v>306</v>
      </c>
      <c r="H75" s="396">
        <v>225549.85</v>
      </c>
      <c r="I75" s="398"/>
    </row>
    <row r="76" spans="1:9" ht="24">
      <c r="A76" s="286" t="s">
        <v>260</v>
      </c>
      <c r="B76" s="394" t="s">
        <v>170</v>
      </c>
      <c r="C76" s="395"/>
      <c r="D76" s="286" t="s">
        <v>261</v>
      </c>
      <c r="E76" s="286" t="s">
        <v>262</v>
      </c>
      <c r="F76" s="286" t="s">
        <v>307</v>
      </c>
      <c r="G76" s="286" t="s">
        <v>308</v>
      </c>
      <c r="H76" s="396">
        <v>-24401.55</v>
      </c>
      <c r="I76" s="398"/>
    </row>
    <row r="77" spans="1:9" ht="24">
      <c r="A77" s="286" t="s">
        <v>260</v>
      </c>
      <c r="B77" s="394" t="s">
        <v>170</v>
      </c>
      <c r="C77" s="395"/>
      <c r="D77" s="286" t="s">
        <v>309</v>
      </c>
      <c r="E77" s="286" t="s">
        <v>310</v>
      </c>
      <c r="F77" s="286" t="s">
        <v>263</v>
      </c>
      <c r="G77" s="286" t="s">
        <v>264</v>
      </c>
      <c r="H77" s="396">
        <v>205297</v>
      </c>
      <c r="I77" s="398"/>
    </row>
    <row r="78" spans="1:9" ht="24">
      <c r="A78" s="286" t="s">
        <v>260</v>
      </c>
      <c r="B78" s="394" t="s">
        <v>170</v>
      </c>
      <c r="C78" s="395"/>
      <c r="D78" s="286" t="s">
        <v>309</v>
      </c>
      <c r="E78" s="286" t="s">
        <v>310</v>
      </c>
      <c r="F78" s="286" t="s">
        <v>269</v>
      </c>
      <c r="G78" s="286" t="s">
        <v>270</v>
      </c>
      <c r="H78" s="396">
        <v>7700</v>
      </c>
      <c r="I78" s="398"/>
    </row>
    <row r="79" spans="1:9" ht="24">
      <c r="A79" s="286" t="s">
        <v>260</v>
      </c>
      <c r="B79" s="394" t="s">
        <v>170</v>
      </c>
      <c r="C79" s="395"/>
      <c r="D79" s="286" t="s">
        <v>309</v>
      </c>
      <c r="E79" s="286" t="s">
        <v>310</v>
      </c>
      <c r="F79" s="286" t="s">
        <v>271</v>
      </c>
      <c r="G79" s="286" t="s">
        <v>272</v>
      </c>
      <c r="H79" s="396">
        <v>4350</v>
      </c>
      <c r="I79" s="398"/>
    </row>
    <row r="80" spans="1:9" ht="24">
      <c r="A80" s="286" t="s">
        <v>260</v>
      </c>
      <c r="B80" s="394" t="s">
        <v>170</v>
      </c>
      <c r="C80" s="395"/>
      <c r="D80" s="286" t="s">
        <v>309</v>
      </c>
      <c r="E80" s="286" t="s">
        <v>310</v>
      </c>
      <c r="F80" s="286" t="s">
        <v>273</v>
      </c>
      <c r="G80" s="286" t="s">
        <v>274</v>
      </c>
      <c r="H80" s="396">
        <v>4793</v>
      </c>
      <c r="I80" s="398"/>
    </row>
    <row r="81" spans="1:9" ht="24">
      <c r="A81" s="286" t="s">
        <v>260</v>
      </c>
      <c r="B81" s="394" t="s">
        <v>170</v>
      </c>
      <c r="C81" s="395"/>
      <c r="D81" s="286" t="s">
        <v>309</v>
      </c>
      <c r="E81" s="286" t="s">
        <v>310</v>
      </c>
      <c r="F81" s="286" t="s">
        <v>279</v>
      </c>
      <c r="G81" s="286" t="s">
        <v>280</v>
      </c>
      <c r="H81" s="396">
        <v>6107.88</v>
      </c>
      <c r="I81" s="398"/>
    </row>
    <row r="82" spans="1:9" ht="24">
      <c r="A82" s="286" t="s">
        <v>260</v>
      </c>
      <c r="B82" s="394" t="s">
        <v>170</v>
      </c>
      <c r="C82" s="395"/>
      <c r="D82" s="286" t="s">
        <v>309</v>
      </c>
      <c r="E82" s="286" t="s">
        <v>310</v>
      </c>
      <c r="F82" s="286" t="s">
        <v>281</v>
      </c>
      <c r="G82" s="286" t="s">
        <v>282</v>
      </c>
      <c r="H82" s="396">
        <v>1296.9100000000001</v>
      </c>
      <c r="I82" s="398"/>
    </row>
    <row r="83" spans="1:9" ht="24">
      <c r="A83" s="286" t="s">
        <v>260</v>
      </c>
      <c r="B83" s="394" t="s">
        <v>170</v>
      </c>
      <c r="C83" s="395"/>
      <c r="D83" s="286" t="s">
        <v>309</v>
      </c>
      <c r="E83" s="286" t="s">
        <v>310</v>
      </c>
      <c r="F83" s="286" t="s">
        <v>283</v>
      </c>
      <c r="G83" s="286" t="s">
        <v>437</v>
      </c>
      <c r="H83" s="396">
        <v>6581.96</v>
      </c>
      <c r="I83" s="398"/>
    </row>
    <row r="84" spans="1:9" ht="24">
      <c r="A84" s="286" t="s">
        <v>260</v>
      </c>
      <c r="B84" s="394" t="s">
        <v>170</v>
      </c>
      <c r="C84" s="395"/>
      <c r="D84" s="286" t="s">
        <v>309</v>
      </c>
      <c r="E84" s="286" t="s">
        <v>310</v>
      </c>
      <c r="F84" s="286" t="s">
        <v>285</v>
      </c>
      <c r="G84" s="286" t="s">
        <v>286</v>
      </c>
      <c r="H84" s="396">
        <v>30474.799999999999</v>
      </c>
      <c r="I84" s="398"/>
    </row>
    <row r="85" spans="1:9" ht="24">
      <c r="A85" s="286" t="s">
        <v>260</v>
      </c>
      <c r="B85" s="394" t="s">
        <v>170</v>
      </c>
      <c r="C85" s="395"/>
      <c r="D85" s="286" t="s">
        <v>309</v>
      </c>
      <c r="E85" s="286" t="s">
        <v>310</v>
      </c>
      <c r="F85" s="286" t="s">
        <v>287</v>
      </c>
      <c r="G85" s="286" t="s">
        <v>288</v>
      </c>
      <c r="H85" s="396">
        <v>18862.25</v>
      </c>
      <c r="I85" s="398"/>
    </row>
    <row r="86" spans="1:9" ht="24">
      <c r="A86" s="286" t="s">
        <v>260</v>
      </c>
      <c r="B86" s="394" t="s">
        <v>170</v>
      </c>
      <c r="C86" s="395"/>
      <c r="D86" s="286" t="s">
        <v>313</v>
      </c>
      <c r="E86" s="286" t="s">
        <v>314</v>
      </c>
      <c r="F86" s="286" t="s">
        <v>315</v>
      </c>
      <c r="G86" s="286" t="s">
        <v>316</v>
      </c>
      <c r="H86" s="396">
        <v>3494185.46</v>
      </c>
      <c r="I86" s="398"/>
    </row>
    <row r="87" spans="1:9">
      <c r="A87" s="286" t="s">
        <v>260</v>
      </c>
      <c r="B87" s="394" t="s">
        <v>170</v>
      </c>
      <c r="C87" s="395"/>
      <c r="D87" s="286" t="s">
        <v>317</v>
      </c>
      <c r="E87" s="286" t="s">
        <v>318</v>
      </c>
      <c r="F87" s="286" t="s">
        <v>263</v>
      </c>
      <c r="G87" s="286" t="s">
        <v>264</v>
      </c>
      <c r="H87" s="396">
        <v>719560</v>
      </c>
      <c r="I87" s="398"/>
    </row>
    <row r="88" spans="1:9">
      <c r="A88" s="286" t="s">
        <v>260</v>
      </c>
      <c r="B88" s="394" t="s">
        <v>170</v>
      </c>
      <c r="C88" s="395"/>
      <c r="D88" s="286" t="s">
        <v>317</v>
      </c>
      <c r="E88" s="286" t="s">
        <v>318</v>
      </c>
      <c r="F88" s="286" t="s">
        <v>265</v>
      </c>
      <c r="G88" s="286" t="s">
        <v>266</v>
      </c>
      <c r="H88" s="396">
        <v>32899</v>
      </c>
      <c r="I88" s="398"/>
    </row>
    <row r="89" spans="1:9">
      <c r="A89" s="286" t="s">
        <v>260</v>
      </c>
      <c r="B89" s="394" t="s">
        <v>170</v>
      </c>
      <c r="C89" s="395"/>
      <c r="D89" s="286" t="s">
        <v>317</v>
      </c>
      <c r="E89" s="286" t="s">
        <v>318</v>
      </c>
      <c r="F89" s="286" t="s">
        <v>319</v>
      </c>
      <c r="G89" s="286" t="s">
        <v>320</v>
      </c>
      <c r="H89" s="396">
        <v>61829</v>
      </c>
      <c r="I89" s="398"/>
    </row>
    <row r="90" spans="1:9">
      <c r="A90" s="286" t="s">
        <v>260</v>
      </c>
      <c r="B90" s="394" t="s">
        <v>170</v>
      </c>
      <c r="C90" s="395"/>
      <c r="D90" s="286" t="s">
        <v>317</v>
      </c>
      <c r="E90" s="286" t="s">
        <v>318</v>
      </c>
      <c r="F90" s="286" t="s">
        <v>271</v>
      </c>
      <c r="G90" s="286" t="s">
        <v>272</v>
      </c>
      <c r="H90" s="396">
        <v>13050</v>
      </c>
      <c r="I90" s="398"/>
    </row>
    <row r="91" spans="1:9">
      <c r="A91" s="286" t="s">
        <v>260</v>
      </c>
      <c r="B91" s="394" t="s">
        <v>170</v>
      </c>
      <c r="C91" s="395"/>
      <c r="D91" s="286" t="s">
        <v>317</v>
      </c>
      <c r="E91" s="286" t="s">
        <v>318</v>
      </c>
      <c r="F91" s="286" t="s">
        <v>273</v>
      </c>
      <c r="G91" s="286" t="s">
        <v>274</v>
      </c>
      <c r="H91" s="396">
        <v>16360</v>
      </c>
      <c r="I91" s="398"/>
    </row>
    <row r="92" spans="1:9">
      <c r="A92" s="286" t="s">
        <v>260</v>
      </c>
      <c r="B92" s="394" t="s">
        <v>170</v>
      </c>
      <c r="C92" s="395"/>
      <c r="D92" s="286" t="s">
        <v>317</v>
      </c>
      <c r="E92" s="286" t="s">
        <v>318</v>
      </c>
      <c r="F92" s="286" t="s">
        <v>279</v>
      </c>
      <c r="G92" s="286" t="s">
        <v>280</v>
      </c>
      <c r="H92" s="396">
        <v>11506.86</v>
      </c>
      <c r="I92" s="398"/>
    </row>
    <row r="93" spans="1:9">
      <c r="A93" s="286" t="s">
        <v>260</v>
      </c>
      <c r="B93" s="394" t="s">
        <v>170</v>
      </c>
      <c r="C93" s="395"/>
      <c r="D93" s="286" t="s">
        <v>317</v>
      </c>
      <c r="E93" s="286" t="s">
        <v>318</v>
      </c>
      <c r="F93" s="286" t="s">
        <v>281</v>
      </c>
      <c r="G93" s="286" t="s">
        <v>282</v>
      </c>
      <c r="H93" s="396">
        <v>682.62</v>
      </c>
      <c r="I93" s="398"/>
    </row>
    <row r="94" spans="1:9">
      <c r="A94" s="286" t="s">
        <v>260</v>
      </c>
      <c r="B94" s="394" t="s">
        <v>170</v>
      </c>
      <c r="C94" s="395"/>
      <c r="D94" s="286" t="s">
        <v>317</v>
      </c>
      <c r="E94" s="286" t="s">
        <v>318</v>
      </c>
      <c r="F94" s="286" t="s">
        <v>283</v>
      </c>
      <c r="G94" s="286" t="s">
        <v>437</v>
      </c>
      <c r="H94" s="396">
        <v>32758.2</v>
      </c>
      <c r="I94" s="398"/>
    </row>
    <row r="95" spans="1:9">
      <c r="A95" s="286" t="s">
        <v>260</v>
      </c>
      <c r="B95" s="394" t="s">
        <v>170</v>
      </c>
      <c r="C95" s="395"/>
      <c r="D95" s="286" t="s">
        <v>317</v>
      </c>
      <c r="E95" s="286" t="s">
        <v>318</v>
      </c>
      <c r="F95" s="286" t="s">
        <v>285</v>
      </c>
      <c r="G95" s="286" t="s">
        <v>286</v>
      </c>
      <c r="H95" s="396">
        <v>24760.48</v>
      </c>
      <c r="I95" s="398"/>
    </row>
    <row r="96" spans="1:9">
      <c r="A96" s="286" t="s">
        <v>260</v>
      </c>
      <c r="B96" s="394" t="s">
        <v>170</v>
      </c>
      <c r="C96" s="395"/>
      <c r="D96" s="286" t="s">
        <v>317</v>
      </c>
      <c r="E96" s="286" t="s">
        <v>318</v>
      </c>
      <c r="F96" s="286" t="s">
        <v>287</v>
      </c>
      <c r="G96" s="286" t="s">
        <v>288</v>
      </c>
      <c r="H96" s="396">
        <v>22539.46</v>
      </c>
      <c r="I96" s="398"/>
    </row>
    <row r="97" spans="1:9" ht="24">
      <c r="A97" s="286" t="s">
        <v>260</v>
      </c>
      <c r="B97" s="394" t="s">
        <v>170</v>
      </c>
      <c r="C97" s="395"/>
      <c r="D97" s="286" t="s">
        <v>317</v>
      </c>
      <c r="E97" s="286" t="s">
        <v>318</v>
      </c>
      <c r="F97" s="286" t="s">
        <v>307</v>
      </c>
      <c r="G97" s="286" t="s">
        <v>308</v>
      </c>
      <c r="H97" s="396">
        <v>-81</v>
      </c>
      <c r="I97" s="398"/>
    </row>
    <row r="98" spans="1:9">
      <c r="A98" s="286" t="s">
        <v>260</v>
      </c>
      <c r="B98" s="394" t="s">
        <v>170</v>
      </c>
      <c r="C98" s="395"/>
      <c r="D98" s="286" t="s">
        <v>323</v>
      </c>
      <c r="E98" s="286" t="s">
        <v>324</v>
      </c>
      <c r="F98" s="286" t="s">
        <v>263</v>
      </c>
      <c r="G98" s="286" t="s">
        <v>264</v>
      </c>
      <c r="H98" s="396">
        <v>91073</v>
      </c>
      <c r="I98" s="398"/>
    </row>
    <row r="99" spans="1:9">
      <c r="A99" s="286" t="s">
        <v>260</v>
      </c>
      <c r="B99" s="394" t="s">
        <v>170</v>
      </c>
      <c r="C99" s="395"/>
      <c r="D99" s="286" t="s">
        <v>323</v>
      </c>
      <c r="E99" s="286" t="s">
        <v>324</v>
      </c>
      <c r="F99" s="286" t="s">
        <v>269</v>
      </c>
      <c r="G99" s="286" t="s">
        <v>270</v>
      </c>
      <c r="H99" s="396">
        <v>7470</v>
      </c>
      <c r="I99" s="398"/>
    </row>
    <row r="100" spans="1:9">
      <c r="A100" s="286" t="s">
        <v>260</v>
      </c>
      <c r="B100" s="394" t="s">
        <v>170</v>
      </c>
      <c r="C100" s="395"/>
      <c r="D100" s="286" t="s">
        <v>323</v>
      </c>
      <c r="E100" s="286" t="s">
        <v>324</v>
      </c>
      <c r="F100" s="286" t="s">
        <v>271</v>
      </c>
      <c r="G100" s="286" t="s">
        <v>272</v>
      </c>
      <c r="H100" s="396">
        <v>2900</v>
      </c>
      <c r="I100" s="398"/>
    </row>
    <row r="101" spans="1:9">
      <c r="A101" s="286" t="s">
        <v>260</v>
      </c>
      <c r="B101" s="394" t="s">
        <v>170</v>
      </c>
      <c r="C101" s="395"/>
      <c r="D101" s="286" t="s">
        <v>323</v>
      </c>
      <c r="E101" s="286" t="s">
        <v>324</v>
      </c>
      <c r="F101" s="286" t="s">
        <v>273</v>
      </c>
      <c r="G101" s="286" t="s">
        <v>274</v>
      </c>
      <c r="H101" s="396">
        <v>2216</v>
      </c>
      <c r="I101" s="398"/>
    </row>
    <row r="102" spans="1:9">
      <c r="A102" s="286" t="s">
        <v>260</v>
      </c>
      <c r="B102" s="394" t="s">
        <v>170</v>
      </c>
      <c r="C102" s="395"/>
      <c r="D102" s="286" t="s">
        <v>323</v>
      </c>
      <c r="E102" s="286" t="s">
        <v>324</v>
      </c>
      <c r="F102" s="286" t="s">
        <v>279</v>
      </c>
      <c r="G102" s="286" t="s">
        <v>280</v>
      </c>
      <c r="H102" s="396">
        <v>3143.71</v>
      </c>
      <c r="I102" s="398"/>
    </row>
    <row r="103" spans="1:9">
      <c r="A103" s="286" t="s">
        <v>260</v>
      </c>
      <c r="B103" s="394" t="s">
        <v>170</v>
      </c>
      <c r="C103" s="395"/>
      <c r="D103" s="286" t="s">
        <v>323</v>
      </c>
      <c r="E103" s="286" t="s">
        <v>324</v>
      </c>
      <c r="F103" s="286" t="s">
        <v>281</v>
      </c>
      <c r="G103" s="286" t="s">
        <v>282</v>
      </c>
      <c r="H103" s="396">
        <v>496.56</v>
      </c>
      <c r="I103" s="398"/>
    </row>
    <row r="104" spans="1:9">
      <c r="A104" s="286" t="s">
        <v>260</v>
      </c>
      <c r="B104" s="394" t="s">
        <v>170</v>
      </c>
      <c r="C104" s="395"/>
      <c r="D104" s="286" t="s">
        <v>323</v>
      </c>
      <c r="E104" s="286" t="s">
        <v>324</v>
      </c>
      <c r="F104" s="286" t="s">
        <v>283</v>
      </c>
      <c r="G104" s="286" t="s">
        <v>437</v>
      </c>
      <c r="H104" s="396">
        <v>4426.3599999999997</v>
      </c>
      <c r="I104" s="398"/>
    </row>
    <row r="105" spans="1:9">
      <c r="A105" s="286" t="s">
        <v>260</v>
      </c>
      <c r="B105" s="394" t="s">
        <v>170</v>
      </c>
      <c r="C105" s="395"/>
      <c r="D105" s="286" t="s">
        <v>323</v>
      </c>
      <c r="E105" s="286" t="s">
        <v>324</v>
      </c>
      <c r="F105" s="286" t="s">
        <v>285</v>
      </c>
      <c r="G105" s="286" t="s">
        <v>286</v>
      </c>
      <c r="H105" s="396">
        <v>3019.1</v>
      </c>
      <c r="I105" s="398"/>
    </row>
    <row r="106" spans="1:9">
      <c r="A106" s="286" t="s">
        <v>260</v>
      </c>
      <c r="B106" s="394" t="s">
        <v>170</v>
      </c>
      <c r="C106" s="395"/>
      <c r="D106" s="286" t="s">
        <v>323</v>
      </c>
      <c r="E106" s="286" t="s">
        <v>324</v>
      </c>
      <c r="F106" s="286" t="s">
        <v>287</v>
      </c>
      <c r="G106" s="286" t="s">
        <v>288</v>
      </c>
      <c r="H106" s="396">
        <v>852.54</v>
      </c>
      <c r="I106" s="398"/>
    </row>
    <row r="107" spans="1:9">
      <c r="A107" s="286" t="s">
        <v>260</v>
      </c>
      <c r="B107" s="394" t="s">
        <v>170</v>
      </c>
      <c r="C107" s="395"/>
      <c r="D107" s="286" t="s">
        <v>325</v>
      </c>
      <c r="E107" s="286" t="s">
        <v>326</v>
      </c>
      <c r="F107" s="286" t="s">
        <v>275</v>
      </c>
      <c r="G107" s="286" t="s">
        <v>276</v>
      </c>
      <c r="H107" s="396">
        <v>3007.45</v>
      </c>
      <c r="I107" s="398"/>
    </row>
    <row r="108" spans="1:9">
      <c r="A108" s="286" t="s">
        <v>260</v>
      </c>
      <c r="B108" s="394" t="s">
        <v>170</v>
      </c>
      <c r="C108" s="395"/>
      <c r="D108" s="286" t="s">
        <v>325</v>
      </c>
      <c r="E108" s="286" t="s">
        <v>326</v>
      </c>
      <c r="F108" s="286" t="s">
        <v>277</v>
      </c>
      <c r="G108" s="286" t="s">
        <v>278</v>
      </c>
      <c r="H108" s="396">
        <v>10707.54</v>
      </c>
      <c r="I108" s="398"/>
    </row>
    <row r="109" spans="1:9">
      <c r="A109" s="286" t="s">
        <v>260</v>
      </c>
      <c r="B109" s="394" t="s">
        <v>170</v>
      </c>
      <c r="C109" s="395"/>
      <c r="D109" s="286" t="s">
        <v>325</v>
      </c>
      <c r="E109" s="286" t="s">
        <v>326</v>
      </c>
      <c r="F109" s="286" t="s">
        <v>279</v>
      </c>
      <c r="G109" s="286" t="s">
        <v>280</v>
      </c>
      <c r="H109" s="396">
        <v>21982.51</v>
      </c>
      <c r="I109" s="398"/>
    </row>
    <row r="110" spans="1:9">
      <c r="A110" s="286" t="s">
        <v>260</v>
      </c>
      <c r="B110" s="394" t="s">
        <v>170</v>
      </c>
      <c r="C110" s="395"/>
      <c r="D110" s="286" t="s">
        <v>325</v>
      </c>
      <c r="E110" s="286" t="s">
        <v>326</v>
      </c>
      <c r="F110" s="286" t="s">
        <v>281</v>
      </c>
      <c r="G110" s="286" t="s">
        <v>282</v>
      </c>
      <c r="H110" s="396">
        <v>6999.33</v>
      </c>
      <c r="I110" s="398"/>
    </row>
    <row r="111" spans="1:9">
      <c r="A111" s="286" t="s">
        <v>260</v>
      </c>
      <c r="B111" s="394" t="s">
        <v>170</v>
      </c>
      <c r="C111" s="395"/>
      <c r="D111" s="286" t="s">
        <v>325</v>
      </c>
      <c r="E111" s="286" t="s">
        <v>326</v>
      </c>
      <c r="F111" s="286" t="s">
        <v>438</v>
      </c>
      <c r="G111" s="286" t="s">
        <v>439</v>
      </c>
      <c r="H111" s="396">
        <v>5070</v>
      </c>
      <c r="I111" s="398"/>
    </row>
    <row r="112" spans="1:9">
      <c r="A112" s="286" t="s">
        <v>260</v>
      </c>
      <c r="B112" s="394" t="s">
        <v>170</v>
      </c>
      <c r="C112" s="395"/>
      <c r="D112" s="286" t="s">
        <v>325</v>
      </c>
      <c r="E112" s="286" t="s">
        <v>326</v>
      </c>
      <c r="F112" s="286" t="s">
        <v>285</v>
      </c>
      <c r="G112" s="286" t="s">
        <v>286</v>
      </c>
      <c r="H112" s="396">
        <v>852.74</v>
      </c>
      <c r="I112" s="398"/>
    </row>
    <row r="113" spans="1:9">
      <c r="A113" s="286" t="s">
        <v>260</v>
      </c>
      <c r="B113" s="394" t="s">
        <v>170</v>
      </c>
      <c r="C113" s="395"/>
      <c r="D113" s="286" t="s">
        <v>325</v>
      </c>
      <c r="E113" s="286" t="s">
        <v>326</v>
      </c>
      <c r="F113" s="286" t="s">
        <v>287</v>
      </c>
      <c r="G113" s="286" t="s">
        <v>288</v>
      </c>
      <c r="H113" s="396">
        <v>45975.37</v>
      </c>
      <c r="I113" s="398"/>
    </row>
    <row r="114" spans="1:9">
      <c r="A114" s="286" t="s">
        <v>260</v>
      </c>
      <c r="B114" s="394" t="s">
        <v>170</v>
      </c>
      <c r="C114" s="395"/>
      <c r="D114" s="286" t="s">
        <v>325</v>
      </c>
      <c r="E114" s="286" t="s">
        <v>326</v>
      </c>
      <c r="F114" s="286" t="s">
        <v>291</v>
      </c>
      <c r="G114" s="286" t="s">
        <v>292</v>
      </c>
      <c r="H114" s="396">
        <v>49318.33</v>
      </c>
      <c r="I114" s="398"/>
    </row>
    <row r="115" spans="1:9">
      <c r="A115" s="286" t="s">
        <v>260</v>
      </c>
      <c r="B115" s="394" t="s">
        <v>170</v>
      </c>
      <c r="C115" s="395"/>
      <c r="D115" s="286" t="s">
        <v>325</v>
      </c>
      <c r="E115" s="286" t="s">
        <v>326</v>
      </c>
      <c r="F115" s="286" t="s">
        <v>293</v>
      </c>
      <c r="G115" s="286" t="s">
        <v>294</v>
      </c>
      <c r="H115" s="396">
        <v>6976.42</v>
      </c>
      <c r="I115" s="398"/>
    </row>
    <row r="116" spans="1:9">
      <c r="A116" s="286" t="s">
        <v>260</v>
      </c>
      <c r="B116" s="394" t="s">
        <v>170</v>
      </c>
      <c r="C116" s="395"/>
      <c r="D116" s="286" t="s">
        <v>325</v>
      </c>
      <c r="E116" s="286" t="s">
        <v>326</v>
      </c>
      <c r="F116" s="286" t="s">
        <v>335</v>
      </c>
      <c r="G116" s="286" t="s">
        <v>336</v>
      </c>
      <c r="H116" s="396">
        <v>1000</v>
      </c>
      <c r="I116" s="398"/>
    </row>
    <row r="117" spans="1:9">
      <c r="A117" s="286" t="s">
        <v>260</v>
      </c>
      <c r="B117" s="394" t="s">
        <v>170</v>
      </c>
      <c r="C117" s="395"/>
      <c r="D117" s="286" t="s">
        <v>325</v>
      </c>
      <c r="E117" s="286" t="s">
        <v>326</v>
      </c>
      <c r="F117" s="286" t="s">
        <v>295</v>
      </c>
      <c r="G117" s="286" t="s">
        <v>296</v>
      </c>
      <c r="H117" s="396">
        <v>1000</v>
      </c>
      <c r="I117" s="398"/>
    </row>
    <row r="118" spans="1:9">
      <c r="A118" s="286" t="s">
        <v>260</v>
      </c>
      <c r="B118" s="394" t="s">
        <v>170</v>
      </c>
      <c r="C118" s="395"/>
      <c r="D118" s="286" t="s">
        <v>331</v>
      </c>
      <c r="E118" s="286" t="s">
        <v>332</v>
      </c>
      <c r="F118" s="286" t="s">
        <v>275</v>
      </c>
      <c r="G118" s="286" t="s">
        <v>276</v>
      </c>
      <c r="H118" s="396">
        <v>5500</v>
      </c>
      <c r="I118" s="398"/>
    </row>
    <row r="119" spans="1:9">
      <c r="A119" s="286" t="s">
        <v>260</v>
      </c>
      <c r="B119" s="394" t="s">
        <v>170</v>
      </c>
      <c r="C119" s="395"/>
      <c r="D119" s="286" t="s">
        <v>331</v>
      </c>
      <c r="E119" s="286" t="s">
        <v>332</v>
      </c>
      <c r="F119" s="286" t="s">
        <v>277</v>
      </c>
      <c r="G119" s="286" t="s">
        <v>278</v>
      </c>
      <c r="H119" s="396">
        <v>9938.76</v>
      </c>
      <c r="I119" s="398"/>
    </row>
    <row r="120" spans="1:9">
      <c r="A120" s="286" t="s">
        <v>260</v>
      </c>
      <c r="B120" s="394" t="s">
        <v>170</v>
      </c>
      <c r="C120" s="395"/>
      <c r="D120" s="286" t="s">
        <v>331</v>
      </c>
      <c r="E120" s="286" t="s">
        <v>332</v>
      </c>
      <c r="F120" s="286" t="s">
        <v>279</v>
      </c>
      <c r="G120" s="286" t="s">
        <v>280</v>
      </c>
      <c r="H120" s="396">
        <v>18999.27</v>
      </c>
      <c r="I120" s="398"/>
    </row>
    <row r="121" spans="1:9">
      <c r="A121" s="286" t="s">
        <v>260</v>
      </c>
      <c r="B121" s="394" t="s">
        <v>170</v>
      </c>
      <c r="C121" s="395"/>
      <c r="D121" s="286" t="s">
        <v>331</v>
      </c>
      <c r="E121" s="286" t="s">
        <v>332</v>
      </c>
      <c r="F121" s="286" t="s">
        <v>281</v>
      </c>
      <c r="G121" s="286" t="s">
        <v>282</v>
      </c>
      <c r="H121" s="396">
        <v>17941.009999999998</v>
      </c>
      <c r="I121" s="398"/>
    </row>
    <row r="122" spans="1:9">
      <c r="A122" s="286" t="s">
        <v>260</v>
      </c>
      <c r="B122" s="394" t="s">
        <v>170</v>
      </c>
      <c r="C122" s="395"/>
      <c r="D122" s="286" t="s">
        <v>331</v>
      </c>
      <c r="E122" s="286" t="s">
        <v>332</v>
      </c>
      <c r="F122" s="286" t="s">
        <v>438</v>
      </c>
      <c r="G122" s="286" t="s">
        <v>439</v>
      </c>
      <c r="H122" s="396">
        <v>7454</v>
      </c>
      <c r="I122" s="398"/>
    </row>
    <row r="123" spans="1:9">
      <c r="A123" s="286" t="s">
        <v>260</v>
      </c>
      <c r="B123" s="394" t="s">
        <v>170</v>
      </c>
      <c r="C123" s="395"/>
      <c r="D123" s="286" t="s">
        <v>331</v>
      </c>
      <c r="E123" s="286" t="s">
        <v>332</v>
      </c>
      <c r="F123" s="286" t="s">
        <v>285</v>
      </c>
      <c r="G123" s="286" t="s">
        <v>286</v>
      </c>
      <c r="H123" s="396">
        <v>2366.33</v>
      </c>
      <c r="I123" s="398"/>
    </row>
    <row r="124" spans="1:9">
      <c r="A124" s="286" t="s">
        <v>260</v>
      </c>
      <c r="B124" s="394" t="s">
        <v>170</v>
      </c>
      <c r="C124" s="395"/>
      <c r="D124" s="286" t="s">
        <v>331</v>
      </c>
      <c r="E124" s="286" t="s">
        <v>332</v>
      </c>
      <c r="F124" s="286" t="s">
        <v>287</v>
      </c>
      <c r="G124" s="286" t="s">
        <v>288</v>
      </c>
      <c r="H124" s="396">
        <v>162248.79</v>
      </c>
      <c r="I124" s="398"/>
    </row>
    <row r="125" spans="1:9">
      <c r="A125" s="286" t="s">
        <v>260</v>
      </c>
      <c r="B125" s="394" t="s">
        <v>170</v>
      </c>
      <c r="C125" s="395"/>
      <c r="D125" s="286" t="s">
        <v>331</v>
      </c>
      <c r="E125" s="286" t="s">
        <v>332</v>
      </c>
      <c r="F125" s="286" t="s">
        <v>335</v>
      </c>
      <c r="G125" s="286" t="s">
        <v>336</v>
      </c>
      <c r="H125" s="396">
        <v>2790</v>
      </c>
      <c r="I125" s="398"/>
    </row>
    <row r="126" spans="1:9">
      <c r="A126" s="286" t="s">
        <v>260</v>
      </c>
      <c r="B126" s="394" t="s">
        <v>170</v>
      </c>
      <c r="C126" s="395"/>
      <c r="D126" s="286" t="s">
        <v>331</v>
      </c>
      <c r="E126" s="286" t="s">
        <v>332</v>
      </c>
      <c r="F126" s="286" t="s">
        <v>295</v>
      </c>
      <c r="G126" s="286" t="s">
        <v>296</v>
      </c>
      <c r="H126" s="396">
        <v>180</v>
      </c>
      <c r="I126" s="398"/>
    </row>
    <row r="127" spans="1:9">
      <c r="A127" s="286" t="s">
        <v>260</v>
      </c>
      <c r="B127" s="394" t="s">
        <v>170</v>
      </c>
      <c r="C127" s="395"/>
      <c r="D127" s="286" t="s">
        <v>333</v>
      </c>
      <c r="E127" s="286" t="s">
        <v>334</v>
      </c>
      <c r="F127" s="286" t="s">
        <v>279</v>
      </c>
      <c r="G127" s="286" t="s">
        <v>280</v>
      </c>
      <c r="H127" s="396">
        <v>74999.67</v>
      </c>
      <c r="I127" s="398"/>
    </row>
    <row r="128" spans="1:9">
      <c r="A128" s="286" t="s">
        <v>260</v>
      </c>
      <c r="B128" s="394" t="s">
        <v>170</v>
      </c>
      <c r="C128" s="395"/>
      <c r="D128" s="286" t="s">
        <v>333</v>
      </c>
      <c r="E128" s="286" t="s">
        <v>334</v>
      </c>
      <c r="F128" s="286" t="s">
        <v>281</v>
      </c>
      <c r="G128" s="286" t="s">
        <v>282</v>
      </c>
      <c r="H128" s="396">
        <v>9722.91</v>
      </c>
      <c r="I128" s="398"/>
    </row>
    <row r="129" spans="1:9">
      <c r="A129" s="286" t="s">
        <v>260</v>
      </c>
      <c r="B129" s="394" t="s">
        <v>170</v>
      </c>
      <c r="C129" s="395"/>
      <c r="D129" s="286" t="s">
        <v>333</v>
      </c>
      <c r="E129" s="286" t="s">
        <v>334</v>
      </c>
      <c r="F129" s="286" t="s">
        <v>438</v>
      </c>
      <c r="G129" s="286" t="s">
        <v>439</v>
      </c>
      <c r="H129" s="396">
        <v>57037</v>
      </c>
      <c r="I129" s="398"/>
    </row>
    <row r="130" spans="1:9">
      <c r="A130" s="286" t="s">
        <v>260</v>
      </c>
      <c r="B130" s="394" t="s">
        <v>170</v>
      </c>
      <c r="C130" s="395"/>
      <c r="D130" s="286" t="s">
        <v>333</v>
      </c>
      <c r="E130" s="286" t="s">
        <v>334</v>
      </c>
      <c r="F130" s="286" t="s">
        <v>285</v>
      </c>
      <c r="G130" s="286" t="s">
        <v>286</v>
      </c>
      <c r="H130" s="396">
        <v>7651.65</v>
      </c>
      <c r="I130" s="398"/>
    </row>
    <row r="131" spans="1:9">
      <c r="A131" s="286" t="s">
        <v>260</v>
      </c>
      <c r="B131" s="394" t="s">
        <v>170</v>
      </c>
      <c r="C131" s="395"/>
      <c r="D131" s="286" t="s">
        <v>333</v>
      </c>
      <c r="E131" s="286" t="s">
        <v>334</v>
      </c>
      <c r="F131" s="286" t="s">
        <v>287</v>
      </c>
      <c r="G131" s="286" t="s">
        <v>288</v>
      </c>
      <c r="H131" s="396">
        <v>151561.89000000001</v>
      </c>
      <c r="I131" s="398"/>
    </row>
    <row r="132" spans="1:9">
      <c r="A132" s="286" t="s">
        <v>260</v>
      </c>
      <c r="B132" s="394" t="s">
        <v>170</v>
      </c>
      <c r="C132" s="395"/>
      <c r="D132" s="286" t="s">
        <v>333</v>
      </c>
      <c r="E132" s="286" t="s">
        <v>334</v>
      </c>
      <c r="F132" s="286" t="s">
        <v>291</v>
      </c>
      <c r="G132" s="286" t="s">
        <v>292</v>
      </c>
      <c r="H132" s="396">
        <v>31710.51</v>
      </c>
      <c r="I132" s="398"/>
    </row>
    <row r="133" spans="1:9">
      <c r="A133" s="286" t="s">
        <v>260</v>
      </c>
      <c r="B133" s="394" t="s">
        <v>170</v>
      </c>
      <c r="C133" s="395"/>
      <c r="D133" s="286" t="s">
        <v>333</v>
      </c>
      <c r="E133" s="286" t="s">
        <v>334</v>
      </c>
      <c r="F133" s="286" t="s">
        <v>293</v>
      </c>
      <c r="G133" s="286" t="s">
        <v>294</v>
      </c>
      <c r="H133" s="396">
        <v>3029.45</v>
      </c>
      <c r="I133" s="398"/>
    </row>
    <row r="134" spans="1:9">
      <c r="A134" s="286" t="s">
        <v>260</v>
      </c>
      <c r="B134" s="394" t="s">
        <v>170</v>
      </c>
      <c r="C134" s="395"/>
      <c r="D134" s="286" t="s">
        <v>333</v>
      </c>
      <c r="E134" s="286" t="s">
        <v>334</v>
      </c>
      <c r="F134" s="286" t="s">
        <v>335</v>
      </c>
      <c r="G134" s="286" t="s">
        <v>336</v>
      </c>
      <c r="H134" s="396">
        <v>3802</v>
      </c>
      <c r="I134" s="398"/>
    </row>
    <row r="135" spans="1:9">
      <c r="A135" s="286" t="s">
        <v>260</v>
      </c>
      <c r="B135" s="394" t="s">
        <v>170</v>
      </c>
      <c r="C135" s="395"/>
      <c r="D135" s="286" t="s">
        <v>333</v>
      </c>
      <c r="E135" s="286" t="s">
        <v>334</v>
      </c>
      <c r="F135" s="286" t="s">
        <v>295</v>
      </c>
      <c r="G135" s="286" t="s">
        <v>296</v>
      </c>
      <c r="H135" s="396">
        <v>11380</v>
      </c>
      <c r="I135" s="398"/>
    </row>
    <row r="136" spans="1:9">
      <c r="A136" s="286" t="s">
        <v>260</v>
      </c>
      <c r="B136" s="394" t="s">
        <v>170</v>
      </c>
      <c r="C136" s="395"/>
      <c r="D136" s="286" t="s">
        <v>333</v>
      </c>
      <c r="E136" s="286" t="s">
        <v>334</v>
      </c>
      <c r="F136" s="286" t="s">
        <v>337</v>
      </c>
      <c r="G136" s="286" t="s">
        <v>338</v>
      </c>
      <c r="H136" s="396">
        <v>100727.9</v>
      </c>
      <c r="I136" s="398"/>
    </row>
    <row r="137" spans="1:9">
      <c r="A137" s="286" t="s">
        <v>260</v>
      </c>
      <c r="B137" s="394" t="s">
        <v>170</v>
      </c>
      <c r="C137" s="395"/>
      <c r="D137" s="286" t="s">
        <v>333</v>
      </c>
      <c r="E137" s="286" t="s">
        <v>334</v>
      </c>
      <c r="F137" s="286" t="s">
        <v>440</v>
      </c>
      <c r="G137" s="286" t="s">
        <v>441</v>
      </c>
      <c r="H137" s="396">
        <v>103577</v>
      </c>
      <c r="I137" s="398"/>
    </row>
    <row r="138" spans="1:9">
      <c r="A138" s="286" t="s">
        <v>260</v>
      </c>
      <c r="B138" s="394" t="s">
        <v>170</v>
      </c>
      <c r="C138" s="395"/>
      <c r="D138" s="286" t="s">
        <v>339</v>
      </c>
      <c r="E138" s="286" t="s">
        <v>340</v>
      </c>
      <c r="F138" s="286" t="s">
        <v>275</v>
      </c>
      <c r="G138" s="286" t="s">
        <v>276</v>
      </c>
      <c r="H138" s="396">
        <v>7515.69</v>
      </c>
      <c r="I138" s="398"/>
    </row>
    <row r="139" spans="1:9">
      <c r="A139" s="286" t="s">
        <v>260</v>
      </c>
      <c r="B139" s="394" t="s">
        <v>170</v>
      </c>
      <c r="C139" s="395"/>
      <c r="D139" s="286" t="s">
        <v>339</v>
      </c>
      <c r="E139" s="286" t="s">
        <v>340</v>
      </c>
      <c r="F139" s="286" t="s">
        <v>277</v>
      </c>
      <c r="G139" s="286" t="s">
        <v>278</v>
      </c>
      <c r="H139" s="396">
        <v>9998.94</v>
      </c>
      <c r="I139" s="398"/>
    </row>
    <row r="140" spans="1:9">
      <c r="A140" s="286" t="s">
        <v>260</v>
      </c>
      <c r="B140" s="394" t="s">
        <v>170</v>
      </c>
      <c r="C140" s="395"/>
      <c r="D140" s="286" t="s">
        <v>339</v>
      </c>
      <c r="E140" s="286" t="s">
        <v>340</v>
      </c>
      <c r="F140" s="286" t="s">
        <v>279</v>
      </c>
      <c r="G140" s="286" t="s">
        <v>280</v>
      </c>
      <c r="H140" s="396">
        <v>96737.87</v>
      </c>
      <c r="I140" s="398"/>
    </row>
    <row r="141" spans="1:9">
      <c r="A141" s="286" t="s">
        <v>260</v>
      </c>
      <c r="B141" s="394" t="s">
        <v>170</v>
      </c>
      <c r="C141" s="395"/>
      <c r="D141" s="286" t="s">
        <v>339</v>
      </c>
      <c r="E141" s="286" t="s">
        <v>340</v>
      </c>
      <c r="F141" s="286" t="s">
        <v>281</v>
      </c>
      <c r="G141" s="286" t="s">
        <v>282</v>
      </c>
      <c r="H141" s="396">
        <v>9999.6</v>
      </c>
      <c r="I141" s="398"/>
    </row>
    <row r="142" spans="1:9">
      <c r="A142" s="286" t="s">
        <v>260</v>
      </c>
      <c r="B142" s="394" t="s">
        <v>170</v>
      </c>
      <c r="C142" s="395"/>
      <c r="D142" s="286" t="s">
        <v>339</v>
      </c>
      <c r="E142" s="286" t="s">
        <v>340</v>
      </c>
      <c r="F142" s="286" t="s">
        <v>438</v>
      </c>
      <c r="G142" s="286" t="s">
        <v>439</v>
      </c>
      <c r="H142" s="396">
        <v>50000</v>
      </c>
      <c r="I142" s="398"/>
    </row>
    <row r="143" spans="1:9">
      <c r="A143" s="286" t="s">
        <v>260</v>
      </c>
      <c r="B143" s="394" t="s">
        <v>170</v>
      </c>
      <c r="C143" s="395"/>
      <c r="D143" s="286" t="s">
        <v>339</v>
      </c>
      <c r="E143" s="286" t="s">
        <v>340</v>
      </c>
      <c r="F143" s="286" t="s">
        <v>285</v>
      </c>
      <c r="G143" s="286" t="s">
        <v>286</v>
      </c>
      <c r="H143" s="396">
        <v>2169.39</v>
      </c>
      <c r="I143" s="398"/>
    </row>
    <row r="144" spans="1:9">
      <c r="A144" s="286" t="s">
        <v>260</v>
      </c>
      <c r="B144" s="394" t="s">
        <v>170</v>
      </c>
      <c r="C144" s="395"/>
      <c r="D144" s="286" t="s">
        <v>339</v>
      </c>
      <c r="E144" s="286" t="s">
        <v>340</v>
      </c>
      <c r="F144" s="286" t="s">
        <v>287</v>
      </c>
      <c r="G144" s="286" t="s">
        <v>288</v>
      </c>
      <c r="H144" s="396">
        <v>109016.36</v>
      </c>
      <c r="I144" s="398"/>
    </row>
    <row r="145" spans="1:9">
      <c r="A145" s="286" t="s">
        <v>260</v>
      </c>
      <c r="B145" s="394" t="s">
        <v>170</v>
      </c>
      <c r="C145" s="395"/>
      <c r="D145" s="286" t="s">
        <v>339</v>
      </c>
      <c r="E145" s="286" t="s">
        <v>340</v>
      </c>
      <c r="F145" s="286" t="s">
        <v>289</v>
      </c>
      <c r="G145" s="286" t="s">
        <v>290</v>
      </c>
      <c r="H145" s="396">
        <v>59255.76</v>
      </c>
      <c r="I145" s="398"/>
    </row>
    <row r="146" spans="1:9">
      <c r="A146" s="286" t="s">
        <v>260</v>
      </c>
      <c r="B146" s="394" t="s">
        <v>170</v>
      </c>
      <c r="C146" s="395"/>
      <c r="D146" s="286" t="s">
        <v>339</v>
      </c>
      <c r="E146" s="286" t="s">
        <v>340</v>
      </c>
      <c r="F146" s="286" t="s">
        <v>291</v>
      </c>
      <c r="G146" s="286" t="s">
        <v>292</v>
      </c>
      <c r="H146" s="396">
        <v>18000</v>
      </c>
      <c r="I146" s="398"/>
    </row>
    <row r="147" spans="1:9">
      <c r="A147" s="286" t="s">
        <v>260</v>
      </c>
      <c r="B147" s="394" t="s">
        <v>170</v>
      </c>
      <c r="C147" s="395"/>
      <c r="D147" s="286" t="s">
        <v>339</v>
      </c>
      <c r="E147" s="286" t="s">
        <v>340</v>
      </c>
      <c r="F147" s="286" t="s">
        <v>442</v>
      </c>
      <c r="G147" s="286" t="s">
        <v>443</v>
      </c>
      <c r="H147" s="396">
        <v>24759.64</v>
      </c>
      <c r="I147" s="398"/>
    </row>
    <row r="148" spans="1:9">
      <c r="A148" s="286" t="s">
        <v>260</v>
      </c>
      <c r="B148" s="394" t="s">
        <v>170</v>
      </c>
      <c r="C148" s="395"/>
      <c r="D148" s="286" t="s">
        <v>339</v>
      </c>
      <c r="E148" s="286" t="s">
        <v>340</v>
      </c>
      <c r="F148" s="286" t="s">
        <v>335</v>
      </c>
      <c r="G148" s="286" t="s">
        <v>336</v>
      </c>
      <c r="H148" s="396">
        <v>600</v>
      </c>
      <c r="I148" s="398"/>
    </row>
    <row r="149" spans="1:9">
      <c r="A149" s="286" t="s">
        <v>260</v>
      </c>
      <c r="B149" s="394" t="s">
        <v>170</v>
      </c>
      <c r="C149" s="395"/>
      <c r="D149" s="286" t="s">
        <v>339</v>
      </c>
      <c r="E149" s="286" t="s">
        <v>340</v>
      </c>
      <c r="F149" s="286" t="s">
        <v>295</v>
      </c>
      <c r="G149" s="286" t="s">
        <v>296</v>
      </c>
      <c r="H149" s="396">
        <v>6670</v>
      </c>
      <c r="I149" s="398"/>
    </row>
    <row r="150" spans="1:9">
      <c r="A150" s="286" t="s">
        <v>260</v>
      </c>
      <c r="B150" s="394" t="s">
        <v>170</v>
      </c>
      <c r="C150" s="395"/>
      <c r="D150" s="286" t="s">
        <v>339</v>
      </c>
      <c r="E150" s="286" t="s">
        <v>340</v>
      </c>
      <c r="F150" s="286" t="s">
        <v>301</v>
      </c>
      <c r="G150" s="286" t="s">
        <v>302</v>
      </c>
      <c r="H150" s="396">
        <v>15978</v>
      </c>
      <c r="I150" s="398"/>
    </row>
    <row r="151" spans="1:9">
      <c r="A151" s="286" t="s">
        <v>260</v>
      </c>
      <c r="B151" s="394" t="s">
        <v>170</v>
      </c>
      <c r="C151" s="395"/>
      <c r="D151" s="286" t="s">
        <v>339</v>
      </c>
      <c r="E151" s="286" t="s">
        <v>340</v>
      </c>
      <c r="F151" s="286" t="s">
        <v>440</v>
      </c>
      <c r="G151" s="286" t="s">
        <v>441</v>
      </c>
      <c r="H151" s="396">
        <v>191123</v>
      </c>
      <c r="I151" s="398"/>
    </row>
    <row r="152" spans="1:9">
      <c r="A152" s="286" t="s">
        <v>260</v>
      </c>
      <c r="B152" s="394" t="s">
        <v>170</v>
      </c>
      <c r="C152" s="395"/>
      <c r="D152" s="286" t="s">
        <v>343</v>
      </c>
      <c r="E152" s="286" t="s">
        <v>344</v>
      </c>
      <c r="F152" s="286" t="s">
        <v>263</v>
      </c>
      <c r="G152" s="286" t="s">
        <v>264</v>
      </c>
      <c r="H152" s="396">
        <v>9016</v>
      </c>
      <c r="I152" s="398"/>
    </row>
    <row r="153" spans="1:9">
      <c r="A153" s="286" t="s">
        <v>260</v>
      </c>
      <c r="B153" s="394" t="s">
        <v>170</v>
      </c>
      <c r="C153" s="395"/>
      <c r="D153" s="286" t="s">
        <v>343</v>
      </c>
      <c r="E153" s="286" t="s">
        <v>344</v>
      </c>
      <c r="F153" s="286" t="s">
        <v>269</v>
      </c>
      <c r="G153" s="286" t="s">
        <v>270</v>
      </c>
      <c r="H153" s="396">
        <v>32763</v>
      </c>
      <c r="I153" s="398"/>
    </row>
    <row r="154" spans="1:9">
      <c r="A154" s="286" t="s">
        <v>260</v>
      </c>
      <c r="B154" s="394" t="s">
        <v>170</v>
      </c>
      <c r="C154" s="395"/>
      <c r="D154" s="286" t="s">
        <v>343</v>
      </c>
      <c r="E154" s="286" t="s">
        <v>344</v>
      </c>
      <c r="F154" s="286" t="s">
        <v>271</v>
      </c>
      <c r="G154" s="286" t="s">
        <v>272</v>
      </c>
      <c r="H154" s="396">
        <v>12850</v>
      </c>
      <c r="I154" s="398"/>
    </row>
    <row r="155" spans="1:9">
      <c r="A155" s="286" t="s">
        <v>260</v>
      </c>
      <c r="B155" s="394" t="s">
        <v>170</v>
      </c>
      <c r="C155" s="395"/>
      <c r="D155" s="286" t="s">
        <v>343</v>
      </c>
      <c r="E155" s="286" t="s">
        <v>344</v>
      </c>
      <c r="F155" s="286" t="s">
        <v>273</v>
      </c>
      <c r="G155" s="286" t="s">
        <v>274</v>
      </c>
      <c r="H155" s="396">
        <v>943</v>
      </c>
      <c r="I155" s="398"/>
    </row>
    <row r="156" spans="1:9">
      <c r="A156" s="286" t="s">
        <v>260</v>
      </c>
      <c r="B156" s="394" t="s">
        <v>170</v>
      </c>
      <c r="C156" s="395"/>
      <c r="D156" s="286" t="s">
        <v>343</v>
      </c>
      <c r="E156" s="286" t="s">
        <v>344</v>
      </c>
      <c r="F156" s="286" t="s">
        <v>275</v>
      </c>
      <c r="G156" s="286" t="s">
        <v>276</v>
      </c>
      <c r="H156" s="396">
        <v>2772.18</v>
      </c>
      <c r="I156" s="398"/>
    </row>
    <row r="157" spans="1:9">
      <c r="A157" s="286" t="s">
        <v>260</v>
      </c>
      <c r="B157" s="394" t="s">
        <v>170</v>
      </c>
      <c r="C157" s="395"/>
      <c r="D157" s="286" t="s">
        <v>343</v>
      </c>
      <c r="E157" s="286" t="s">
        <v>344</v>
      </c>
      <c r="F157" s="286" t="s">
        <v>277</v>
      </c>
      <c r="G157" s="286" t="s">
        <v>278</v>
      </c>
      <c r="H157" s="396">
        <v>3997.51</v>
      </c>
      <c r="I157" s="398"/>
    </row>
    <row r="158" spans="1:9">
      <c r="A158" s="286" t="s">
        <v>260</v>
      </c>
      <c r="B158" s="394" t="s">
        <v>170</v>
      </c>
      <c r="C158" s="395"/>
      <c r="D158" s="286" t="s">
        <v>343</v>
      </c>
      <c r="E158" s="286" t="s">
        <v>344</v>
      </c>
      <c r="F158" s="286" t="s">
        <v>279</v>
      </c>
      <c r="G158" s="286" t="s">
        <v>280</v>
      </c>
      <c r="H158" s="396">
        <v>17522.86</v>
      </c>
      <c r="I158" s="398"/>
    </row>
    <row r="159" spans="1:9">
      <c r="A159" s="286" t="s">
        <v>260</v>
      </c>
      <c r="B159" s="394" t="s">
        <v>170</v>
      </c>
      <c r="C159" s="395"/>
      <c r="D159" s="286" t="s">
        <v>343</v>
      </c>
      <c r="E159" s="286" t="s">
        <v>344</v>
      </c>
      <c r="F159" s="286" t="s">
        <v>281</v>
      </c>
      <c r="G159" s="286" t="s">
        <v>282</v>
      </c>
      <c r="H159" s="396">
        <v>4601.3</v>
      </c>
      <c r="I159" s="398"/>
    </row>
    <row r="160" spans="1:9">
      <c r="A160" s="286" t="s">
        <v>260</v>
      </c>
      <c r="B160" s="394" t="s">
        <v>170</v>
      </c>
      <c r="C160" s="395"/>
      <c r="D160" s="286" t="s">
        <v>343</v>
      </c>
      <c r="E160" s="286" t="s">
        <v>344</v>
      </c>
      <c r="F160" s="286" t="s">
        <v>438</v>
      </c>
      <c r="G160" s="286" t="s">
        <v>439</v>
      </c>
      <c r="H160" s="396">
        <v>5268.84</v>
      </c>
      <c r="I160" s="398"/>
    </row>
    <row r="161" spans="1:9">
      <c r="A161" s="286" t="s">
        <v>260</v>
      </c>
      <c r="B161" s="394" t="s">
        <v>170</v>
      </c>
      <c r="C161" s="395"/>
      <c r="D161" s="286" t="s">
        <v>343</v>
      </c>
      <c r="E161" s="286" t="s">
        <v>344</v>
      </c>
      <c r="F161" s="286" t="s">
        <v>285</v>
      </c>
      <c r="G161" s="286" t="s">
        <v>286</v>
      </c>
      <c r="H161" s="396">
        <v>2353.0700000000002</v>
      </c>
      <c r="I161" s="398"/>
    </row>
    <row r="162" spans="1:9">
      <c r="A162" s="286" t="s">
        <v>260</v>
      </c>
      <c r="B162" s="394" t="s">
        <v>170</v>
      </c>
      <c r="C162" s="395"/>
      <c r="D162" s="286" t="s">
        <v>343</v>
      </c>
      <c r="E162" s="286" t="s">
        <v>344</v>
      </c>
      <c r="F162" s="286" t="s">
        <v>287</v>
      </c>
      <c r="G162" s="286" t="s">
        <v>288</v>
      </c>
      <c r="H162" s="396">
        <v>38861.33</v>
      </c>
      <c r="I162" s="398"/>
    </row>
    <row r="163" spans="1:9">
      <c r="A163" s="286" t="s">
        <v>260</v>
      </c>
      <c r="B163" s="394" t="s">
        <v>170</v>
      </c>
      <c r="C163" s="395"/>
      <c r="D163" s="286" t="s">
        <v>343</v>
      </c>
      <c r="E163" s="286" t="s">
        <v>344</v>
      </c>
      <c r="F163" s="286" t="s">
        <v>345</v>
      </c>
      <c r="G163" s="286" t="s">
        <v>346</v>
      </c>
      <c r="H163" s="396">
        <v>39979.33</v>
      </c>
      <c r="I163" s="398"/>
    </row>
    <row r="164" spans="1:9">
      <c r="A164" s="286" t="s">
        <v>260</v>
      </c>
      <c r="B164" s="394" t="s">
        <v>170</v>
      </c>
      <c r="C164" s="395"/>
      <c r="D164" s="286" t="s">
        <v>343</v>
      </c>
      <c r="E164" s="286" t="s">
        <v>344</v>
      </c>
      <c r="F164" s="286" t="s">
        <v>353</v>
      </c>
      <c r="G164" s="286" t="s">
        <v>354</v>
      </c>
      <c r="H164" s="396">
        <v>99.62</v>
      </c>
      <c r="I164" s="398"/>
    </row>
    <row r="165" spans="1:9">
      <c r="A165" s="286" t="s">
        <v>260</v>
      </c>
      <c r="B165" s="394" t="s">
        <v>170</v>
      </c>
      <c r="C165" s="395"/>
      <c r="D165" s="286" t="s">
        <v>343</v>
      </c>
      <c r="E165" s="286" t="s">
        <v>344</v>
      </c>
      <c r="F165" s="286" t="s">
        <v>444</v>
      </c>
      <c r="G165" s="286" t="s">
        <v>445</v>
      </c>
      <c r="H165" s="396">
        <v>211.5</v>
      </c>
      <c r="I165" s="398"/>
    </row>
    <row r="166" spans="1:9">
      <c r="A166" s="286" t="s">
        <v>260</v>
      </c>
      <c r="B166" s="394" t="s">
        <v>170</v>
      </c>
      <c r="C166" s="395"/>
      <c r="D166" s="286" t="s">
        <v>343</v>
      </c>
      <c r="E166" s="286" t="s">
        <v>344</v>
      </c>
      <c r="F166" s="286" t="s">
        <v>321</v>
      </c>
      <c r="G166" s="286" t="s">
        <v>322</v>
      </c>
      <c r="H166" s="396">
        <v>1805.14</v>
      </c>
      <c r="I166" s="398"/>
    </row>
    <row r="167" spans="1:9">
      <c r="A167" s="286" t="s">
        <v>260</v>
      </c>
      <c r="B167" s="394" t="s">
        <v>170</v>
      </c>
      <c r="C167" s="395"/>
      <c r="D167" s="286" t="s">
        <v>343</v>
      </c>
      <c r="E167" s="286" t="s">
        <v>344</v>
      </c>
      <c r="F167" s="286" t="s">
        <v>446</v>
      </c>
      <c r="G167" s="286" t="s">
        <v>447</v>
      </c>
      <c r="H167" s="396">
        <v>1871.39</v>
      </c>
      <c r="I167" s="398"/>
    </row>
    <row r="168" spans="1:9">
      <c r="A168" s="286" t="s">
        <v>260</v>
      </c>
      <c r="B168" s="394" t="s">
        <v>170</v>
      </c>
      <c r="C168" s="395"/>
      <c r="D168" s="286" t="s">
        <v>343</v>
      </c>
      <c r="E168" s="286" t="s">
        <v>344</v>
      </c>
      <c r="F168" s="286" t="s">
        <v>291</v>
      </c>
      <c r="G168" s="286" t="s">
        <v>292</v>
      </c>
      <c r="H168" s="396">
        <v>23754.93</v>
      </c>
      <c r="I168" s="398"/>
    </row>
    <row r="169" spans="1:9">
      <c r="A169" s="286" t="s">
        <v>260</v>
      </c>
      <c r="B169" s="394" t="s">
        <v>170</v>
      </c>
      <c r="C169" s="395"/>
      <c r="D169" s="286" t="s">
        <v>343</v>
      </c>
      <c r="E169" s="286" t="s">
        <v>344</v>
      </c>
      <c r="F169" s="286" t="s">
        <v>335</v>
      </c>
      <c r="G169" s="286" t="s">
        <v>336</v>
      </c>
      <c r="H169" s="396">
        <v>240</v>
      </c>
      <c r="I169" s="398"/>
    </row>
    <row r="170" spans="1:9">
      <c r="A170" s="286" t="s">
        <v>260</v>
      </c>
      <c r="B170" s="394" t="s">
        <v>170</v>
      </c>
      <c r="C170" s="395"/>
      <c r="D170" s="286" t="s">
        <v>347</v>
      </c>
      <c r="E170" s="286" t="s">
        <v>348</v>
      </c>
      <c r="F170" s="286" t="s">
        <v>285</v>
      </c>
      <c r="G170" s="286" t="s">
        <v>286</v>
      </c>
      <c r="H170" s="396">
        <v>44592.480000000003</v>
      </c>
      <c r="I170" s="398"/>
    </row>
    <row r="171" spans="1:9">
      <c r="A171" s="286" t="s">
        <v>260</v>
      </c>
      <c r="B171" s="394" t="s">
        <v>170</v>
      </c>
      <c r="C171" s="395"/>
      <c r="D171" s="286" t="s">
        <v>347</v>
      </c>
      <c r="E171" s="286" t="s">
        <v>348</v>
      </c>
      <c r="F171" s="286" t="s">
        <v>287</v>
      </c>
      <c r="G171" s="286" t="s">
        <v>288</v>
      </c>
      <c r="H171" s="396">
        <v>7163.8</v>
      </c>
      <c r="I171" s="398"/>
    </row>
    <row r="172" spans="1:9">
      <c r="A172" s="286" t="s">
        <v>260</v>
      </c>
      <c r="B172" s="394" t="s">
        <v>170</v>
      </c>
      <c r="C172" s="395"/>
      <c r="D172" s="286" t="s">
        <v>347</v>
      </c>
      <c r="E172" s="286" t="s">
        <v>348</v>
      </c>
      <c r="F172" s="286" t="s">
        <v>448</v>
      </c>
      <c r="G172" s="286" t="s">
        <v>449</v>
      </c>
      <c r="H172" s="396">
        <v>2970</v>
      </c>
      <c r="I172" s="398"/>
    </row>
    <row r="173" spans="1:9">
      <c r="A173" s="286" t="s">
        <v>260</v>
      </c>
      <c r="B173" s="394" t="s">
        <v>170</v>
      </c>
      <c r="C173" s="395"/>
      <c r="D173" s="286" t="s">
        <v>349</v>
      </c>
      <c r="E173" s="286" t="s">
        <v>350</v>
      </c>
      <c r="F173" s="286" t="s">
        <v>263</v>
      </c>
      <c r="G173" s="286" t="s">
        <v>264</v>
      </c>
      <c r="H173" s="396">
        <v>120405</v>
      </c>
      <c r="I173" s="398"/>
    </row>
    <row r="174" spans="1:9">
      <c r="A174" s="286" t="s">
        <v>260</v>
      </c>
      <c r="B174" s="394" t="s">
        <v>170</v>
      </c>
      <c r="C174" s="395"/>
      <c r="D174" s="286" t="s">
        <v>349</v>
      </c>
      <c r="E174" s="286" t="s">
        <v>350</v>
      </c>
      <c r="F174" s="286" t="s">
        <v>351</v>
      </c>
      <c r="G174" s="286" t="s">
        <v>352</v>
      </c>
      <c r="H174" s="396">
        <v>16324</v>
      </c>
      <c r="I174" s="398"/>
    </row>
    <row r="175" spans="1:9">
      <c r="A175" s="286" t="s">
        <v>260</v>
      </c>
      <c r="B175" s="394" t="s">
        <v>170</v>
      </c>
      <c r="C175" s="395"/>
      <c r="D175" s="286" t="s">
        <v>349</v>
      </c>
      <c r="E175" s="286" t="s">
        <v>350</v>
      </c>
      <c r="F175" s="286" t="s">
        <v>269</v>
      </c>
      <c r="G175" s="286" t="s">
        <v>270</v>
      </c>
      <c r="H175" s="396">
        <v>7461</v>
      </c>
      <c r="I175" s="398"/>
    </row>
    <row r="176" spans="1:9">
      <c r="A176" s="286" t="s">
        <v>260</v>
      </c>
      <c r="B176" s="394" t="s">
        <v>170</v>
      </c>
      <c r="C176" s="395"/>
      <c r="D176" s="286" t="s">
        <v>349</v>
      </c>
      <c r="E176" s="286" t="s">
        <v>350</v>
      </c>
      <c r="F176" s="286" t="s">
        <v>271</v>
      </c>
      <c r="G176" s="286" t="s">
        <v>272</v>
      </c>
      <c r="H176" s="396">
        <v>2900</v>
      </c>
      <c r="I176" s="398"/>
    </row>
    <row r="177" spans="1:9">
      <c r="A177" s="286" t="s">
        <v>260</v>
      </c>
      <c r="B177" s="394" t="s">
        <v>170</v>
      </c>
      <c r="C177" s="395"/>
      <c r="D177" s="286" t="s">
        <v>349</v>
      </c>
      <c r="E177" s="286" t="s">
        <v>350</v>
      </c>
      <c r="F177" s="286" t="s">
        <v>273</v>
      </c>
      <c r="G177" s="286" t="s">
        <v>274</v>
      </c>
      <c r="H177" s="396">
        <v>3243</v>
      </c>
      <c r="I177" s="398"/>
    </row>
    <row r="178" spans="1:9">
      <c r="A178" s="286" t="s">
        <v>260</v>
      </c>
      <c r="B178" s="394" t="s">
        <v>170</v>
      </c>
      <c r="C178" s="395"/>
      <c r="D178" s="286" t="s">
        <v>349</v>
      </c>
      <c r="E178" s="286" t="s">
        <v>350</v>
      </c>
      <c r="F178" s="286" t="s">
        <v>287</v>
      </c>
      <c r="G178" s="286" t="s">
        <v>288</v>
      </c>
      <c r="H178" s="396">
        <v>4022.18</v>
      </c>
      <c r="I178" s="398"/>
    </row>
    <row r="179" spans="1:9" ht="24">
      <c r="A179" s="286" t="s">
        <v>260</v>
      </c>
      <c r="B179" s="394" t="s">
        <v>170</v>
      </c>
      <c r="C179" s="395"/>
      <c r="D179" s="286" t="s">
        <v>349</v>
      </c>
      <c r="E179" s="286" t="s">
        <v>350</v>
      </c>
      <c r="F179" s="286" t="s">
        <v>307</v>
      </c>
      <c r="G179" s="286" t="s">
        <v>308</v>
      </c>
      <c r="H179" s="396">
        <v>-46.1</v>
      </c>
      <c r="I179" s="398"/>
    </row>
    <row r="180" spans="1:9">
      <c r="A180" s="286" t="s">
        <v>260</v>
      </c>
      <c r="B180" s="394" t="s">
        <v>170</v>
      </c>
      <c r="C180" s="395"/>
      <c r="D180" s="286" t="s">
        <v>355</v>
      </c>
      <c r="E180" s="286" t="s">
        <v>356</v>
      </c>
      <c r="F180" s="286" t="s">
        <v>357</v>
      </c>
      <c r="G180" s="286" t="s">
        <v>358</v>
      </c>
      <c r="H180" s="396">
        <v>119767.98</v>
      </c>
      <c r="I180" s="398"/>
    </row>
    <row r="181" spans="1:9">
      <c r="A181" s="286" t="s">
        <v>260</v>
      </c>
      <c r="B181" s="394" t="s">
        <v>170</v>
      </c>
      <c r="C181" s="395"/>
      <c r="D181" s="286" t="s">
        <v>359</v>
      </c>
      <c r="E181" s="286" t="s">
        <v>360</v>
      </c>
      <c r="F181" s="286" t="s">
        <v>357</v>
      </c>
      <c r="G181" s="286" t="s">
        <v>358</v>
      </c>
      <c r="H181" s="396">
        <v>172558.85</v>
      </c>
      <c r="I181" s="398"/>
    </row>
    <row r="182" spans="1:9" ht="24">
      <c r="A182" s="286" t="s">
        <v>260</v>
      </c>
      <c r="B182" s="394" t="s">
        <v>170</v>
      </c>
      <c r="C182" s="395"/>
      <c r="D182" s="286" t="s">
        <v>361</v>
      </c>
      <c r="E182" s="286" t="s">
        <v>362</v>
      </c>
      <c r="F182" s="286" t="s">
        <v>287</v>
      </c>
      <c r="G182" s="286" t="s">
        <v>288</v>
      </c>
      <c r="H182" s="396">
        <v>4603430.4000000004</v>
      </c>
      <c r="I182" s="398"/>
    </row>
    <row r="183" spans="1:9" ht="24">
      <c r="A183" s="286" t="s">
        <v>260</v>
      </c>
      <c r="B183" s="394" t="s">
        <v>170</v>
      </c>
      <c r="C183" s="395"/>
      <c r="D183" s="286" t="s">
        <v>361</v>
      </c>
      <c r="E183" s="286" t="s">
        <v>362</v>
      </c>
      <c r="F183" s="286" t="s">
        <v>305</v>
      </c>
      <c r="G183" s="286" t="s">
        <v>306</v>
      </c>
      <c r="H183" s="396">
        <v>12474.01</v>
      </c>
      <c r="I183" s="398"/>
    </row>
    <row r="184" spans="1:9" ht="24">
      <c r="A184" s="286" t="s">
        <v>260</v>
      </c>
      <c r="B184" s="394" t="s">
        <v>170</v>
      </c>
      <c r="C184" s="395"/>
      <c r="D184" s="286" t="s">
        <v>363</v>
      </c>
      <c r="E184" s="286" t="s">
        <v>364</v>
      </c>
      <c r="F184" s="286" t="s">
        <v>450</v>
      </c>
      <c r="G184" s="286" t="s">
        <v>451</v>
      </c>
      <c r="H184" s="396">
        <v>160600</v>
      </c>
      <c r="I184" s="398"/>
    </row>
    <row r="185" spans="1:9">
      <c r="A185" s="286" t="s">
        <v>260</v>
      </c>
      <c r="B185" s="394" t="s">
        <v>170</v>
      </c>
      <c r="C185" s="395"/>
      <c r="D185" s="286" t="s">
        <v>365</v>
      </c>
      <c r="E185" s="286" t="s">
        <v>366</v>
      </c>
      <c r="F185" s="286" t="s">
        <v>263</v>
      </c>
      <c r="G185" s="286" t="s">
        <v>264</v>
      </c>
      <c r="H185" s="396">
        <v>1150904</v>
      </c>
      <c r="I185" s="398"/>
    </row>
    <row r="186" spans="1:9">
      <c r="A186" s="286" t="s">
        <v>260</v>
      </c>
      <c r="B186" s="394" t="s">
        <v>170</v>
      </c>
      <c r="C186" s="395"/>
      <c r="D186" s="286" t="s">
        <v>365</v>
      </c>
      <c r="E186" s="286" t="s">
        <v>366</v>
      </c>
      <c r="F186" s="286" t="s">
        <v>269</v>
      </c>
      <c r="G186" s="286" t="s">
        <v>270</v>
      </c>
      <c r="H186" s="396">
        <v>106429</v>
      </c>
      <c r="I186" s="398"/>
    </row>
    <row r="187" spans="1:9">
      <c r="A187" s="286" t="s">
        <v>260</v>
      </c>
      <c r="B187" s="394" t="s">
        <v>170</v>
      </c>
      <c r="C187" s="395"/>
      <c r="D187" s="286" t="s">
        <v>365</v>
      </c>
      <c r="E187" s="286" t="s">
        <v>366</v>
      </c>
      <c r="F187" s="286" t="s">
        <v>271</v>
      </c>
      <c r="G187" s="286" t="s">
        <v>272</v>
      </c>
      <c r="H187" s="396">
        <v>36200</v>
      </c>
      <c r="I187" s="398"/>
    </row>
    <row r="188" spans="1:9">
      <c r="A188" s="286" t="s">
        <v>260</v>
      </c>
      <c r="B188" s="394" t="s">
        <v>170</v>
      </c>
      <c r="C188" s="395"/>
      <c r="D188" s="286" t="s">
        <v>365</v>
      </c>
      <c r="E188" s="286" t="s">
        <v>366</v>
      </c>
      <c r="F188" s="286" t="s">
        <v>273</v>
      </c>
      <c r="G188" s="286" t="s">
        <v>274</v>
      </c>
      <c r="H188" s="396">
        <v>27693</v>
      </c>
      <c r="I188" s="398"/>
    </row>
    <row r="189" spans="1:9">
      <c r="A189" s="286" t="s">
        <v>260</v>
      </c>
      <c r="B189" s="394" t="s">
        <v>170</v>
      </c>
      <c r="C189" s="395"/>
      <c r="D189" s="286" t="s">
        <v>365</v>
      </c>
      <c r="E189" s="286" t="s">
        <v>366</v>
      </c>
      <c r="F189" s="286" t="s">
        <v>337</v>
      </c>
      <c r="G189" s="286" t="s">
        <v>338</v>
      </c>
      <c r="H189" s="396">
        <v>1859148</v>
      </c>
      <c r="I189" s="398"/>
    </row>
    <row r="190" spans="1:9" ht="24">
      <c r="A190" s="286" t="s">
        <v>260</v>
      </c>
      <c r="B190" s="394" t="s">
        <v>170</v>
      </c>
      <c r="C190" s="395"/>
      <c r="D190" s="286" t="s">
        <v>365</v>
      </c>
      <c r="E190" s="286" t="s">
        <v>366</v>
      </c>
      <c r="F190" s="286" t="s">
        <v>307</v>
      </c>
      <c r="G190" s="286" t="s">
        <v>308</v>
      </c>
      <c r="H190" s="396">
        <v>-7919</v>
      </c>
      <c r="I190" s="398"/>
    </row>
    <row r="191" spans="1:9">
      <c r="A191" s="286" t="s">
        <v>260</v>
      </c>
      <c r="B191" s="394" t="s">
        <v>170</v>
      </c>
      <c r="C191" s="395"/>
      <c r="D191" s="286" t="s">
        <v>367</v>
      </c>
      <c r="E191" s="286" t="s">
        <v>368</v>
      </c>
      <c r="F191" s="286" t="s">
        <v>337</v>
      </c>
      <c r="G191" s="286" t="s">
        <v>338</v>
      </c>
      <c r="H191" s="396">
        <v>95996</v>
      </c>
      <c r="I191" s="398"/>
    </row>
    <row r="192" spans="1:9" ht="24">
      <c r="A192" s="286" t="s">
        <v>260</v>
      </c>
      <c r="B192" s="394" t="s">
        <v>170</v>
      </c>
      <c r="C192" s="395"/>
      <c r="D192" s="286" t="s">
        <v>369</v>
      </c>
      <c r="E192" s="286" t="s">
        <v>370</v>
      </c>
      <c r="F192" s="286" t="s">
        <v>337</v>
      </c>
      <c r="G192" s="286" t="s">
        <v>338</v>
      </c>
      <c r="H192" s="396">
        <v>507114.67</v>
      </c>
      <c r="I192" s="398"/>
    </row>
    <row r="193" spans="1:9">
      <c r="A193" s="286" t="s">
        <v>260</v>
      </c>
      <c r="B193" s="394" t="s">
        <v>170</v>
      </c>
      <c r="C193" s="395"/>
      <c r="D193" s="286" t="s">
        <v>375</v>
      </c>
      <c r="E193" s="286" t="s">
        <v>376</v>
      </c>
      <c r="F193" s="286" t="s">
        <v>279</v>
      </c>
      <c r="G193" s="286" t="s">
        <v>280</v>
      </c>
      <c r="H193" s="396">
        <v>1542989.77</v>
      </c>
      <c r="I193" s="398"/>
    </row>
    <row r="194" spans="1:9">
      <c r="A194" s="286" t="s">
        <v>260</v>
      </c>
      <c r="B194" s="394" t="s">
        <v>170</v>
      </c>
      <c r="C194" s="395"/>
      <c r="D194" s="286" t="s">
        <v>375</v>
      </c>
      <c r="E194" s="286" t="s">
        <v>376</v>
      </c>
      <c r="F194" s="286" t="s">
        <v>287</v>
      </c>
      <c r="G194" s="286" t="s">
        <v>288</v>
      </c>
      <c r="H194" s="396">
        <v>273391.55</v>
      </c>
      <c r="I194" s="398"/>
    </row>
    <row r="195" spans="1:9">
      <c r="A195" s="286" t="s">
        <v>260</v>
      </c>
      <c r="B195" s="394" t="s">
        <v>170</v>
      </c>
      <c r="C195" s="395"/>
      <c r="D195" s="286" t="s">
        <v>375</v>
      </c>
      <c r="E195" s="286" t="s">
        <v>376</v>
      </c>
      <c r="F195" s="286" t="s">
        <v>305</v>
      </c>
      <c r="G195" s="286" t="s">
        <v>306</v>
      </c>
      <c r="H195" s="396">
        <v>79350.429999999993</v>
      </c>
      <c r="I195" s="398"/>
    </row>
    <row r="196" spans="1:9" ht="24">
      <c r="A196" s="286" t="s">
        <v>260</v>
      </c>
      <c r="B196" s="394" t="s">
        <v>170</v>
      </c>
      <c r="C196" s="395"/>
      <c r="D196" s="286" t="s">
        <v>375</v>
      </c>
      <c r="E196" s="286" t="s">
        <v>376</v>
      </c>
      <c r="F196" s="286" t="s">
        <v>307</v>
      </c>
      <c r="G196" s="286" t="s">
        <v>308</v>
      </c>
      <c r="H196" s="396">
        <v>-13658.13</v>
      </c>
      <c r="I196" s="398"/>
    </row>
    <row r="197" spans="1:9" ht="24">
      <c r="A197" s="286" t="s">
        <v>260</v>
      </c>
      <c r="B197" s="394" t="s">
        <v>170</v>
      </c>
      <c r="C197" s="395"/>
      <c r="D197" s="286" t="s">
        <v>377</v>
      </c>
      <c r="E197" s="286" t="s">
        <v>378</v>
      </c>
      <c r="F197" s="286" t="s">
        <v>279</v>
      </c>
      <c r="G197" s="286" t="s">
        <v>280</v>
      </c>
      <c r="H197" s="396">
        <v>15978.34</v>
      </c>
      <c r="I197" s="398"/>
    </row>
    <row r="198" spans="1:9" ht="24">
      <c r="A198" s="286" t="s">
        <v>260</v>
      </c>
      <c r="B198" s="394" t="s">
        <v>170</v>
      </c>
      <c r="C198" s="395"/>
      <c r="D198" s="286" t="s">
        <v>377</v>
      </c>
      <c r="E198" s="286" t="s">
        <v>378</v>
      </c>
      <c r="F198" s="286" t="s">
        <v>281</v>
      </c>
      <c r="G198" s="286" t="s">
        <v>282</v>
      </c>
      <c r="H198" s="396">
        <v>657177.28</v>
      </c>
      <c r="I198" s="398"/>
    </row>
    <row r="199" spans="1:9" ht="24">
      <c r="A199" s="286" t="s">
        <v>260</v>
      </c>
      <c r="B199" s="394" t="s">
        <v>170</v>
      </c>
      <c r="C199" s="395"/>
      <c r="D199" s="286" t="s">
        <v>377</v>
      </c>
      <c r="E199" s="286" t="s">
        <v>378</v>
      </c>
      <c r="F199" s="286" t="s">
        <v>287</v>
      </c>
      <c r="G199" s="286" t="s">
        <v>288</v>
      </c>
      <c r="H199" s="396">
        <v>10982518.51</v>
      </c>
      <c r="I199" s="398"/>
    </row>
    <row r="200" spans="1:9" ht="24">
      <c r="A200" s="286" t="s">
        <v>260</v>
      </c>
      <c r="B200" s="394" t="s">
        <v>170</v>
      </c>
      <c r="C200" s="395"/>
      <c r="D200" s="286" t="s">
        <v>377</v>
      </c>
      <c r="E200" s="286" t="s">
        <v>378</v>
      </c>
      <c r="F200" s="286" t="s">
        <v>291</v>
      </c>
      <c r="G200" s="286" t="s">
        <v>292</v>
      </c>
      <c r="H200" s="396">
        <v>710806.13</v>
      </c>
      <c r="I200" s="398"/>
    </row>
    <row r="201" spans="1:9" ht="24">
      <c r="A201" s="286" t="s">
        <v>260</v>
      </c>
      <c r="B201" s="394" t="s">
        <v>170</v>
      </c>
      <c r="C201" s="395"/>
      <c r="D201" s="286" t="s">
        <v>377</v>
      </c>
      <c r="E201" s="286" t="s">
        <v>378</v>
      </c>
      <c r="F201" s="286" t="s">
        <v>379</v>
      </c>
      <c r="G201" s="286" t="s">
        <v>380</v>
      </c>
      <c r="H201" s="396">
        <v>978854.45</v>
      </c>
      <c r="I201" s="398"/>
    </row>
    <row r="202" spans="1:9" ht="24">
      <c r="A202" s="286" t="s">
        <v>260</v>
      </c>
      <c r="B202" s="394" t="s">
        <v>170</v>
      </c>
      <c r="C202" s="395"/>
      <c r="D202" s="286" t="s">
        <v>377</v>
      </c>
      <c r="E202" s="286" t="s">
        <v>378</v>
      </c>
      <c r="F202" s="286" t="s">
        <v>301</v>
      </c>
      <c r="G202" s="286" t="s">
        <v>302</v>
      </c>
      <c r="H202" s="396">
        <v>1102576.72</v>
      </c>
      <c r="I202" s="398"/>
    </row>
    <row r="203" spans="1:9" ht="24">
      <c r="A203" s="286" t="s">
        <v>260</v>
      </c>
      <c r="B203" s="394" t="s">
        <v>170</v>
      </c>
      <c r="C203" s="395"/>
      <c r="D203" s="286" t="s">
        <v>377</v>
      </c>
      <c r="E203" s="286" t="s">
        <v>378</v>
      </c>
      <c r="F203" s="286" t="s">
        <v>381</v>
      </c>
      <c r="G203" s="286" t="s">
        <v>382</v>
      </c>
      <c r="H203" s="396">
        <v>252731.31</v>
      </c>
      <c r="I203" s="398"/>
    </row>
    <row r="204" spans="1:9" ht="24">
      <c r="A204" s="286" t="s">
        <v>260</v>
      </c>
      <c r="B204" s="394" t="s">
        <v>170</v>
      </c>
      <c r="C204" s="395"/>
      <c r="D204" s="286" t="s">
        <v>377</v>
      </c>
      <c r="E204" s="286" t="s">
        <v>378</v>
      </c>
      <c r="F204" s="286" t="s">
        <v>383</v>
      </c>
      <c r="G204" s="286" t="s">
        <v>384</v>
      </c>
      <c r="H204" s="396">
        <v>1432144.07</v>
      </c>
      <c r="I204" s="398"/>
    </row>
    <row r="205" spans="1:9" ht="24">
      <c r="A205" s="286" t="s">
        <v>260</v>
      </c>
      <c r="B205" s="394" t="s">
        <v>170</v>
      </c>
      <c r="C205" s="395"/>
      <c r="D205" s="286" t="s">
        <v>377</v>
      </c>
      <c r="E205" s="286" t="s">
        <v>378</v>
      </c>
      <c r="F205" s="286" t="s">
        <v>385</v>
      </c>
      <c r="G205" s="286" t="s">
        <v>386</v>
      </c>
      <c r="H205" s="396">
        <v>316830</v>
      </c>
      <c r="I205" s="398"/>
    </row>
    <row r="206" spans="1:9" ht="24">
      <c r="A206" s="286" t="s">
        <v>260</v>
      </c>
      <c r="B206" s="394" t="s">
        <v>170</v>
      </c>
      <c r="C206" s="395"/>
      <c r="D206" s="286" t="s">
        <v>377</v>
      </c>
      <c r="E206" s="286" t="s">
        <v>378</v>
      </c>
      <c r="F206" s="286" t="s">
        <v>452</v>
      </c>
      <c r="G206" s="286" t="s">
        <v>453</v>
      </c>
      <c r="H206" s="396">
        <v>2337865.04</v>
      </c>
      <c r="I206" s="398"/>
    </row>
    <row r="207" spans="1:9" ht="24">
      <c r="A207" s="286" t="s">
        <v>260</v>
      </c>
      <c r="B207" s="394" t="s">
        <v>170</v>
      </c>
      <c r="C207" s="395"/>
      <c r="D207" s="286" t="s">
        <v>377</v>
      </c>
      <c r="E207" s="286" t="s">
        <v>378</v>
      </c>
      <c r="F207" s="286" t="s">
        <v>454</v>
      </c>
      <c r="G207" s="286" t="s">
        <v>455</v>
      </c>
      <c r="H207" s="396">
        <v>13150847.189999999</v>
      </c>
      <c r="I207" s="398"/>
    </row>
    <row r="208" spans="1:9" ht="24">
      <c r="A208" s="286" t="s">
        <v>260</v>
      </c>
      <c r="B208" s="394" t="s">
        <v>170</v>
      </c>
      <c r="C208" s="395"/>
      <c r="D208" s="286" t="s">
        <v>377</v>
      </c>
      <c r="E208" s="286" t="s">
        <v>378</v>
      </c>
      <c r="F208" s="286" t="s">
        <v>456</v>
      </c>
      <c r="G208" s="286" t="s">
        <v>386</v>
      </c>
      <c r="H208" s="396">
        <v>632093.65</v>
      </c>
      <c r="I208" s="398"/>
    </row>
    <row r="209" spans="1:9" ht="24">
      <c r="A209" s="286" t="s">
        <v>260</v>
      </c>
      <c r="B209" s="394" t="s">
        <v>170</v>
      </c>
      <c r="C209" s="395"/>
      <c r="D209" s="286" t="s">
        <v>377</v>
      </c>
      <c r="E209" s="286" t="s">
        <v>378</v>
      </c>
      <c r="F209" s="286" t="s">
        <v>387</v>
      </c>
      <c r="G209" s="286" t="s">
        <v>388</v>
      </c>
      <c r="H209" s="396">
        <v>218776.82</v>
      </c>
      <c r="I209" s="398"/>
    </row>
    <row r="210" spans="1:9" ht="24">
      <c r="A210" s="286" t="s">
        <v>260</v>
      </c>
      <c r="B210" s="394" t="s">
        <v>170</v>
      </c>
      <c r="C210" s="395"/>
      <c r="D210" s="286" t="s">
        <v>377</v>
      </c>
      <c r="E210" s="286" t="s">
        <v>378</v>
      </c>
      <c r="F210" s="286" t="s">
        <v>393</v>
      </c>
      <c r="G210" s="286" t="s">
        <v>394</v>
      </c>
      <c r="H210" s="396">
        <v>391136.81</v>
      </c>
      <c r="I210" s="398"/>
    </row>
    <row r="211" spans="1:9" ht="24">
      <c r="A211" s="286" t="s">
        <v>260</v>
      </c>
      <c r="B211" s="394" t="s">
        <v>170</v>
      </c>
      <c r="C211" s="395"/>
      <c r="D211" s="286" t="s">
        <v>377</v>
      </c>
      <c r="E211" s="286" t="s">
        <v>378</v>
      </c>
      <c r="F211" s="286" t="s">
        <v>395</v>
      </c>
      <c r="G211" s="286" t="s">
        <v>396</v>
      </c>
      <c r="H211" s="396">
        <v>305358.76</v>
      </c>
      <c r="I211" s="398"/>
    </row>
    <row r="212" spans="1:9" ht="24">
      <c r="A212" s="286" t="s">
        <v>260</v>
      </c>
      <c r="B212" s="394" t="s">
        <v>170</v>
      </c>
      <c r="C212" s="395"/>
      <c r="D212" s="286" t="s">
        <v>377</v>
      </c>
      <c r="E212" s="286" t="s">
        <v>378</v>
      </c>
      <c r="F212" s="286" t="s">
        <v>305</v>
      </c>
      <c r="G212" s="286" t="s">
        <v>306</v>
      </c>
      <c r="H212" s="396">
        <v>1787947.22</v>
      </c>
      <c r="I212" s="398"/>
    </row>
    <row r="213" spans="1:9" ht="24">
      <c r="A213" s="286" t="s">
        <v>260</v>
      </c>
      <c r="B213" s="394" t="s">
        <v>170</v>
      </c>
      <c r="C213" s="395"/>
      <c r="D213" s="286" t="s">
        <v>377</v>
      </c>
      <c r="E213" s="286" t="s">
        <v>378</v>
      </c>
      <c r="F213" s="286" t="s">
        <v>399</v>
      </c>
      <c r="G213" s="286" t="s">
        <v>400</v>
      </c>
      <c r="H213" s="396">
        <v>3859046.88</v>
      </c>
      <c r="I213" s="398"/>
    </row>
    <row r="214" spans="1:9" ht="24">
      <c r="A214" s="286" t="s">
        <v>260</v>
      </c>
      <c r="B214" s="394" t="s">
        <v>170</v>
      </c>
      <c r="C214" s="395"/>
      <c r="D214" s="286" t="s">
        <v>377</v>
      </c>
      <c r="E214" s="286" t="s">
        <v>378</v>
      </c>
      <c r="F214" s="286" t="s">
        <v>401</v>
      </c>
      <c r="G214" s="286" t="s">
        <v>402</v>
      </c>
      <c r="H214" s="396">
        <v>2249326.7200000002</v>
      </c>
      <c r="I214" s="398"/>
    </row>
    <row r="215" spans="1:9" ht="24">
      <c r="A215" s="286" t="s">
        <v>260</v>
      </c>
      <c r="B215" s="394" t="s">
        <v>170</v>
      </c>
      <c r="C215" s="395"/>
      <c r="D215" s="286" t="s">
        <v>377</v>
      </c>
      <c r="E215" s="286" t="s">
        <v>378</v>
      </c>
      <c r="F215" s="286" t="s">
        <v>307</v>
      </c>
      <c r="G215" s="286" t="s">
        <v>308</v>
      </c>
      <c r="H215" s="396">
        <v>-20169.53</v>
      </c>
      <c r="I215" s="398"/>
    </row>
    <row r="216" spans="1:9">
      <c r="A216" s="286" t="s">
        <v>260</v>
      </c>
      <c r="B216" s="394" t="s">
        <v>170</v>
      </c>
      <c r="C216" s="395"/>
      <c r="D216" s="286" t="s">
        <v>403</v>
      </c>
      <c r="E216" s="286" t="s">
        <v>404</v>
      </c>
      <c r="F216" s="286" t="s">
        <v>287</v>
      </c>
      <c r="G216" s="286" t="s">
        <v>288</v>
      </c>
      <c r="H216" s="396">
        <v>6506434.7199999997</v>
      </c>
      <c r="I216" s="398"/>
    </row>
    <row r="217" spans="1:9">
      <c r="A217" s="286" t="s">
        <v>260</v>
      </c>
      <c r="B217" s="394" t="s">
        <v>170</v>
      </c>
      <c r="C217" s="395"/>
      <c r="D217" s="286" t="s">
        <v>407</v>
      </c>
      <c r="E217" s="286" t="s">
        <v>408</v>
      </c>
      <c r="F217" s="286" t="s">
        <v>287</v>
      </c>
      <c r="G217" s="286" t="s">
        <v>288</v>
      </c>
      <c r="H217" s="396">
        <v>21182.84</v>
      </c>
      <c r="I217" s="398"/>
    </row>
    <row r="218" spans="1:9">
      <c r="A218" s="286" t="s">
        <v>260</v>
      </c>
      <c r="B218" s="394" t="s">
        <v>170</v>
      </c>
      <c r="C218" s="395"/>
      <c r="D218" s="286" t="s">
        <v>407</v>
      </c>
      <c r="E218" s="286" t="s">
        <v>408</v>
      </c>
      <c r="F218" s="286" t="s">
        <v>452</v>
      </c>
      <c r="G218" s="286" t="s">
        <v>453</v>
      </c>
      <c r="H218" s="396">
        <v>384867.84000000003</v>
      </c>
      <c r="I218" s="398"/>
    </row>
    <row r="219" spans="1:9">
      <c r="A219" s="286" t="s">
        <v>260</v>
      </c>
      <c r="B219" s="394" t="s">
        <v>170</v>
      </c>
      <c r="C219" s="395"/>
      <c r="D219" s="286" t="s">
        <v>407</v>
      </c>
      <c r="E219" s="286" t="s">
        <v>408</v>
      </c>
      <c r="F219" s="286" t="s">
        <v>454</v>
      </c>
      <c r="G219" s="286" t="s">
        <v>455</v>
      </c>
      <c r="H219" s="396">
        <v>2180917.79</v>
      </c>
      <c r="I219" s="398"/>
    </row>
    <row r="220" spans="1:9">
      <c r="A220" s="286" t="s">
        <v>260</v>
      </c>
      <c r="B220" s="394" t="s">
        <v>170</v>
      </c>
      <c r="C220" s="395"/>
      <c r="D220" s="286" t="s">
        <v>407</v>
      </c>
      <c r="E220" s="286" t="s">
        <v>408</v>
      </c>
      <c r="F220" s="286" t="s">
        <v>456</v>
      </c>
      <c r="G220" s="286" t="s">
        <v>386</v>
      </c>
      <c r="H220" s="396">
        <v>387219</v>
      </c>
      <c r="I220" s="398"/>
    </row>
    <row r="221" spans="1:9">
      <c r="A221" s="286" t="s">
        <v>260</v>
      </c>
      <c r="B221" s="394" t="s">
        <v>170</v>
      </c>
      <c r="C221" s="395"/>
      <c r="D221" s="286" t="s">
        <v>407</v>
      </c>
      <c r="E221" s="286" t="s">
        <v>408</v>
      </c>
      <c r="F221" s="286" t="s">
        <v>393</v>
      </c>
      <c r="G221" s="286" t="s">
        <v>394</v>
      </c>
      <c r="H221" s="396">
        <v>706520.79</v>
      </c>
      <c r="I221" s="398"/>
    </row>
    <row r="222" spans="1:9" ht="24">
      <c r="A222" s="286" t="s">
        <v>260</v>
      </c>
      <c r="B222" s="394" t="s">
        <v>248</v>
      </c>
      <c r="C222" s="395"/>
      <c r="D222" s="286" t="s">
        <v>377</v>
      </c>
      <c r="E222" s="286" t="s">
        <v>378</v>
      </c>
      <c r="F222" s="286" t="s">
        <v>452</v>
      </c>
      <c r="G222" s="286" t="s">
        <v>453</v>
      </c>
      <c r="H222" s="396">
        <v>245115.93</v>
      </c>
      <c r="I222" s="398"/>
    </row>
    <row r="223" spans="1:9" ht="24">
      <c r="A223" s="286" t="s">
        <v>260</v>
      </c>
      <c r="B223" s="394" t="s">
        <v>248</v>
      </c>
      <c r="C223" s="395"/>
      <c r="D223" s="286" t="s">
        <v>377</v>
      </c>
      <c r="E223" s="286" t="s">
        <v>378</v>
      </c>
      <c r="F223" s="286" t="s">
        <v>454</v>
      </c>
      <c r="G223" s="286" t="s">
        <v>455</v>
      </c>
      <c r="H223" s="396">
        <v>1388990.38</v>
      </c>
      <c r="I223" s="398"/>
    </row>
    <row r="224" spans="1:9">
      <c r="A224" s="286" t="s">
        <v>260</v>
      </c>
      <c r="B224" s="394" t="s">
        <v>256</v>
      </c>
      <c r="C224" s="395"/>
      <c r="D224" s="286" t="s">
        <v>355</v>
      </c>
      <c r="E224" s="286" t="s">
        <v>356</v>
      </c>
      <c r="F224" s="286" t="s">
        <v>263</v>
      </c>
      <c r="G224" s="286" t="s">
        <v>264</v>
      </c>
      <c r="H224" s="396">
        <v>89163</v>
      </c>
      <c r="I224" s="398"/>
    </row>
    <row r="225" spans="1:9">
      <c r="A225" s="286" t="s">
        <v>260</v>
      </c>
      <c r="B225" s="394" t="s">
        <v>256</v>
      </c>
      <c r="C225" s="395"/>
      <c r="D225" s="286" t="s">
        <v>355</v>
      </c>
      <c r="E225" s="286" t="s">
        <v>356</v>
      </c>
      <c r="F225" s="286" t="s">
        <v>269</v>
      </c>
      <c r="G225" s="286" t="s">
        <v>270</v>
      </c>
      <c r="H225" s="396">
        <v>6045</v>
      </c>
      <c r="I225" s="398"/>
    </row>
    <row r="226" spans="1:9">
      <c r="A226" s="286" t="s">
        <v>260</v>
      </c>
      <c r="B226" s="394" t="s">
        <v>256</v>
      </c>
      <c r="C226" s="395"/>
      <c r="D226" s="286" t="s">
        <v>355</v>
      </c>
      <c r="E226" s="286" t="s">
        <v>356</v>
      </c>
      <c r="F226" s="286" t="s">
        <v>271</v>
      </c>
      <c r="G226" s="286" t="s">
        <v>272</v>
      </c>
      <c r="H226" s="396">
        <v>1450</v>
      </c>
      <c r="I226" s="398"/>
    </row>
    <row r="227" spans="1:9">
      <c r="A227" s="286" t="s">
        <v>260</v>
      </c>
      <c r="B227" s="394" t="s">
        <v>256</v>
      </c>
      <c r="C227" s="395"/>
      <c r="D227" s="286" t="s">
        <v>355</v>
      </c>
      <c r="E227" s="286" t="s">
        <v>356</v>
      </c>
      <c r="F227" s="286" t="s">
        <v>273</v>
      </c>
      <c r="G227" s="286" t="s">
        <v>274</v>
      </c>
      <c r="H227" s="396">
        <v>2140</v>
      </c>
      <c r="I227" s="398"/>
    </row>
    <row r="228" spans="1:9">
      <c r="A228" s="286" t="s">
        <v>260</v>
      </c>
      <c r="B228" s="394" t="s">
        <v>256</v>
      </c>
      <c r="C228" s="395"/>
      <c r="D228" s="286" t="s">
        <v>355</v>
      </c>
      <c r="E228" s="286" t="s">
        <v>356</v>
      </c>
      <c r="F228" s="286" t="s">
        <v>279</v>
      </c>
      <c r="G228" s="286" t="s">
        <v>280</v>
      </c>
      <c r="H228" s="396">
        <v>9802.2000000000007</v>
      </c>
      <c r="I228" s="398"/>
    </row>
    <row r="229" spans="1:9">
      <c r="A229" s="286" t="s">
        <v>260</v>
      </c>
      <c r="B229" s="394" t="s">
        <v>256</v>
      </c>
      <c r="C229" s="395"/>
      <c r="D229" s="286" t="s">
        <v>355</v>
      </c>
      <c r="E229" s="286" t="s">
        <v>356</v>
      </c>
      <c r="F229" s="286" t="s">
        <v>281</v>
      </c>
      <c r="G229" s="286" t="s">
        <v>282</v>
      </c>
      <c r="H229" s="396">
        <v>3277.51</v>
      </c>
      <c r="I229" s="398"/>
    </row>
    <row r="230" spans="1:9">
      <c r="A230" s="286" t="s">
        <v>260</v>
      </c>
      <c r="B230" s="394" t="s">
        <v>256</v>
      </c>
      <c r="C230" s="395"/>
      <c r="D230" s="286" t="s">
        <v>355</v>
      </c>
      <c r="E230" s="286" t="s">
        <v>356</v>
      </c>
      <c r="F230" s="286" t="s">
        <v>287</v>
      </c>
      <c r="G230" s="286" t="s">
        <v>288</v>
      </c>
      <c r="H230" s="396">
        <v>9690.27</v>
      </c>
      <c r="I230" s="398"/>
    </row>
    <row r="231" spans="1:9">
      <c r="A231" s="286" t="s">
        <v>260</v>
      </c>
      <c r="B231" s="394" t="s">
        <v>256</v>
      </c>
      <c r="C231" s="395"/>
      <c r="D231" s="286" t="s">
        <v>359</v>
      </c>
      <c r="E231" s="286" t="s">
        <v>360</v>
      </c>
      <c r="F231" s="286" t="s">
        <v>263</v>
      </c>
      <c r="G231" s="286" t="s">
        <v>264</v>
      </c>
      <c r="H231" s="396">
        <v>105377</v>
      </c>
      <c r="I231" s="398"/>
    </row>
    <row r="232" spans="1:9">
      <c r="A232" s="286" t="s">
        <v>260</v>
      </c>
      <c r="B232" s="394" t="s">
        <v>256</v>
      </c>
      <c r="C232" s="395"/>
      <c r="D232" s="286" t="s">
        <v>359</v>
      </c>
      <c r="E232" s="286" t="s">
        <v>360</v>
      </c>
      <c r="F232" s="286" t="s">
        <v>269</v>
      </c>
      <c r="G232" s="286" t="s">
        <v>270</v>
      </c>
      <c r="H232" s="396">
        <v>9452</v>
      </c>
      <c r="I232" s="398"/>
    </row>
    <row r="233" spans="1:9">
      <c r="A233" s="286" t="s">
        <v>260</v>
      </c>
      <c r="B233" s="394" t="s">
        <v>256</v>
      </c>
      <c r="C233" s="395"/>
      <c r="D233" s="286" t="s">
        <v>359</v>
      </c>
      <c r="E233" s="286" t="s">
        <v>360</v>
      </c>
      <c r="F233" s="286" t="s">
        <v>271</v>
      </c>
      <c r="G233" s="286" t="s">
        <v>272</v>
      </c>
      <c r="H233" s="396">
        <v>2900</v>
      </c>
      <c r="I233" s="398"/>
    </row>
    <row r="234" spans="1:9">
      <c r="A234" s="286" t="s">
        <v>260</v>
      </c>
      <c r="B234" s="394" t="s">
        <v>256</v>
      </c>
      <c r="C234" s="395"/>
      <c r="D234" s="286" t="s">
        <v>359</v>
      </c>
      <c r="E234" s="286" t="s">
        <v>360</v>
      </c>
      <c r="F234" s="286" t="s">
        <v>273</v>
      </c>
      <c r="G234" s="286" t="s">
        <v>274</v>
      </c>
      <c r="H234" s="396">
        <v>2541</v>
      </c>
      <c r="I234" s="398"/>
    </row>
    <row r="235" spans="1:9">
      <c r="A235" s="286" t="s">
        <v>260</v>
      </c>
      <c r="B235" s="394" t="s">
        <v>256</v>
      </c>
      <c r="C235" s="395"/>
      <c r="D235" s="286" t="s">
        <v>359</v>
      </c>
      <c r="E235" s="286" t="s">
        <v>360</v>
      </c>
      <c r="F235" s="286" t="s">
        <v>279</v>
      </c>
      <c r="G235" s="286" t="s">
        <v>280</v>
      </c>
      <c r="H235" s="396">
        <v>6072.22</v>
      </c>
      <c r="I235" s="398"/>
    </row>
    <row r="236" spans="1:9">
      <c r="A236" s="286" t="s">
        <v>260</v>
      </c>
      <c r="B236" s="394" t="s">
        <v>256</v>
      </c>
      <c r="C236" s="395"/>
      <c r="D236" s="286" t="s">
        <v>359</v>
      </c>
      <c r="E236" s="286" t="s">
        <v>360</v>
      </c>
      <c r="F236" s="286" t="s">
        <v>281</v>
      </c>
      <c r="G236" s="286" t="s">
        <v>282</v>
      </c>
      <c r="H236" s="396">
        <v>1033.22</v>
      </c>
      <c r="I236" s="398"/>
    </row>
    <row r="237" spans="1:9">
      <c r="A237" s="286" t="s">
        <v>260</v>
      </c>
      <c r="B237" s="394" t="s">
        <v>256</v>
      </c>
      <c r="C237" s="395"/>
      <c r="D237" s="286" t="s">
        <v>359</v>
      </c>
      <c r="E237" s="286" t="s">
        <v>360</v>
      </c>
      <c r="F237" s="286" t="s">
        <v>285</v>
      </c>
      <c r="G237" s="286" t="s">
        <v>286</v>
      </c>
      <c r="H237" s="396">
        <v>5709.41</v>
      </c>
      <c r="I237" s="398"/>
    </row>
    <row r="238" spans="1:9">
      <c r="A238" s="286" t="s">
        <v>260</v>
      </c>
      <c r="B238" s="394" t="s">
        <v>256</v>
      </c>
      <c r="C238" s="395"/>
      <c r="D238" s="286" t="s">
        <v>359</v>
      </c>
      <c r="E238" s="286" t="s">
        <v>360</v>
      </c>
      <c r="F238" s="286" t="s">
        <v>287</v>
      </c>
      <c r="G238" s="286" t="s">
        <v>288</v>
      </c>
      <c r="H238" s="396">
        <v>31374</v>
      </c>
      <c r="I238" s="398"/>
    </row>
    <row r="239" spans="1:9">
      <c r="A239" s="286" t="s">
        <v>260</v>
      </c>
      <c r="B239" s="394" t="s">
        <v>256</v>
      </c>
      <c r="C239" s="395"/>
      <c r="D239" s="286" t="s">
        <v>359</v>
      </c>
      <c r="E239" s="286" t="s">
        <v>360</v>
      </c>
      <c r="F239" s="286" t="s">
        <v>345</v>
      </c>
      <c r="G239" s="286" t="s">
        <v>346</v>
      </c>
      <c r="H239" s="396">
        <v>8100</v>
      </c>
      <c r="I239" s="398"/>
    </row>
    <row r="240" spans="1:9" ht="24">
      <c r="A240" s="286" t="s">
        <v>415</v>
      </c>
      <c r="B240" s="408"/>
      <c r="C240" s="409"/>
      <c r="D240" s="287"/>
      <c r="E240" s="287"/>
      <c r="F240" s="287"/>
      <c r="G240" s="287"/>
      <c r="H240" s="396">
        <v>80675787.489999995</v>
      </c>
      <c r="I240" s="398"/>
    </row>
    <row r="241" spans="1:9">
      <c r="A241" s="411" t="s">
        <v>416</v>
      </c>
      <c r="B241" s="411"/>
      <c r="C241" s="411"/>
      <c r="D241" s="411"/>
      <c r="E241" s="411"/>
      <c r="F241" s="411"/>
      <c r="G241" s="411"/>
      <c r="H241" s="411"/>
      <c r="I241" s="411"/>
    </row>
  </sheetData>
  <mergeCells count="467">
    <mergeCell ref="B239:C239"/>
    <mergeCell ref="H239:I239"/>
    <mergeCell ref="B240:C240"/>
    <mergeCell ref="H240:I240"/>
    <mergeCell ref="A241:I241"/>
    <mergeCell ref="B236:C236"/>
    <mergeCell ref="H236:I236"/>
    <mergeCell ref="B237:C237"/>
    <mergeCell ref="H237:I237"/>
    <mergeCell ref="B238:C238"/>
    <mergeCell ref="H238:I238"/>
    <mergeCell ref="B233:C233"/>
    <mergeCell ref="H233:I233"/>
    <mergeCell ref="B234:C234"/>
    <mergeCell ref="H234:I234"/>
    <mergeCell ref="B235:C235"/>
    <mergeCell ref="H235:I235"/>
    <mergeCell ref="B230:C230"/>
    <mergeCell ref="H230:I230"/>
    <mergeCell ref="B231:C231"/>
    <mergeCell ref="H231:I231"/>
    <mergeCell ref="B232:C232"/>
    <mergeCell ref="H232:I232"/>
    <mergeCell ref="B227:C227"/>
    <mergeCell ref="H227:I227"/>
    <mergeCell ref="B228:C228"/>
    <mergeCell ref="H228:I228"/>
    <mergeCell ref="B229:C229"/>
    <mergeCell ref="H229:I229"/>
    <mergeCell ref="B224:C224"/>
    <mergeCell ref="H224:I224"/>
    <mergeCell ref="B225:C225"/>
    <mergeCell ref="H225:I225"/>
    <mergeCell ref="B226:C226"/>
    <mergeCell ref="H226:I226"/>
    <mergeCell ref="B221:C221"/>
    <mergeCell ref="H221:I221"/>
    <mergeCell ref="B222:C222"/>
    <mergeCell ref="H222:I222"/>
    <mergeCell ref="B223:C223"/>
    <mergeCell ref="H223:I223"/>
    <mergeCell ref="B218:C218"/>
    <mergeCell ref="H218:I218"/>
    <mergeCell ref="B219:C219"/>
    <mergeCell ref="H219:I219"/>
    <mergeCell ref="B220:C220"/>
    <mergeCell ref="H220:I220"/>
    <mergeCell ref="B215:C215"/>
    <mergeCell ref="H215:I215"/>
    <mergeCell ref="B216:C216"/>
    <mergeCell ref="H216:I216"/>
    <mergeCell ref="B217:C217"/>
    <mergeCell ref="H217:I217"/>
    <mergeCell ref="B212:C212"/>
    <mergeCell ref="H212:I212"/>
    <mergeCell ref="B213:C213"/>
    <mergeCell ref="H213:I213"/>
    <mergeCell ref="B214:C214"/>
    <mergeCell ref="H214:I214"/>
    <mergeCell ref="B209:C209"/>
    <mergeCell ref="H209:I209"/>
    <mergeCell ref="B210:C210"/>
    <mergeCell ref="H210:I210"/>
    <mergeCell ref="B211:C211"/>
    <mergeCell ref="H211:I211"/>
    <mergeCell ref="B206:C206"/>
    <mergeCell ref="H206:I206"/>
    <mergeCell ref="B207:C207"/>
    <mergeCell ref="H207:I207"/>
    <mergeCell ref="B208:C208"/>
    <mergeCell ref="H208:I208"/>
    <mergeCell ref="B203:C203"/>
    <mergeCell ref="H203:I203"/>
    <mergeCell ref="B204:C204"/>
    <mergeCell ref="H204:I204"/>
    <mergeCell ref="B205:C205"/>
    <mergeCell ref="H205:I205"/>
    <mergeCell ref="B200:C200"/>
    <mergeCell ref="H200:I200"/>
    <mergeCell ref="B201:C201"/>
    <mergeCell ref="H201:I201"/>
    <mergeCell ref="B202:C202"/>
    <mergeCell ref="H202:I202"/>
    <mergeCell ref="B197:C197"/>
    <mergeCell ref="H197:I197"/>
    <mergeCell ref="B198:C198"/>
    <mergeCell ref="H198:I198"/>
    <mergeCell ref="B199:C199"/>
    <mergeCell ref="H199:I199"/>
    <mergeCell ref="B194:C194"/>
    <mergeCell ref="H194:I194"/>
    <mergeCell ref="B195:C195"/>
    <mergeCell ref="H195:I195"/>
    <mergeCell ref="B196:C196"/>
    <mergeCell ref="H196:I196"/>
    <mergeCell ref="B191:C191"/>
    <mergeCell ref="H191:I191"/>
    <mergeCell ref="B192:C192"/>
    <mergeCell ref="H192:I192"/>
    <mergeCell ref="B193:C193"/>
    <mergeCell ref="H193:I193"/>
    <mergeCell ref="B188:C188"/>
    <mergeCell ref="H188:I188"/>
    <mergeCell ref="B189:C189"/>
    <mergeCell ref="H189:I189"/>
    <mergeCell ref="B190:C190"/>
    <mergeCell ref="H190:I190"/>
    <mergeCell ref="B185:C185"/>
    <mergeCell ref="H185:I185"/>
    <mergeCell ref="B186:C186"/>
    <mergeCell ref="H186:I186"/>
    <mergeCell ref="B187:C187"/>
    <mergeCell ref="H187:I187"/>
    <mergeCell ref="B182:C182"/>
    <mergeCell ref="H182:I182"/>
    <mergeCell ref="B183:C183"/>
    <mergeCell ref="H183:I183"/>
    <mergeCell ref="B184:C184"/>
    <mergeCell ref="H184:I184"/>
    <mergeCell ref="B179:C179"/>
    <mergeCell ref="H179:I179"/>
    <mergeCell ref="B180:C180"/>
    <mergeCell ref="H180:I180"/>
    <mergeCell ref="B181:C181"/>
    <mergeCell ref="H181:I181"/>
    <mergeCell ref="B176:C176"/>
    <mergeCell ref="H176:I176"/>
    <mergeCell ref="B177:C177"/>
    <mergeCell ref="H177:I177"/>
    <mergeCell ref="B178:C178"/>
    <mergeCell ref="H178:I178"/>
    <mergeCell ref="B173:C173"/>
    <mergeCell ref="H173:I173"/>
    <mergeCell ref="B174:C174"/>
    <mergeCell ref="H174:I174"/>
    <mergeCell ref="B175:C175"/>
    <mergeCell ref="H175:I175"/>
    <mergeCell ref="B170:C170"/>
    <mergeCell ref="H170:I170"/>
    <mergeCell ref="B171:C171"/>
    <mergeCell ref="H171:I171"/>
    <mergeCell ref="B172:C172"/>
    <mergeCell ref="H172:I172"/>
    <mergeCell ref="B167:C167"/>
    <mergeCell ref="H167:I167"/>
    <mergeCell ref="B168:C168"/>
    <mergeCell ref="H168:I168"/>
    <mergeCell ref="B169:C169"/>
    <mergeCell ref="H169:I169"/>
    <mergeCell ref="B164:C164"/>
    <mergeCell ref="H164:I164"/>
    <mergeCell ref="B165:C165"/>
    <mergeCell ref="H165:I165"/>
    <mergeCell ref="B166:C166"/>
    <mergeCell ref="H166:I166"/>
    <mergeCell ref="B161:C161"/>
    <mergeCell ref="H161:I161"/>
    <mergeCell ref="B162:C162"/>
    <mergeCell ref="H162:I162"/>
    <mergeCell ref="B163:C163"/>
    <mergeCell ref="H163:I163"/>
    <mergeCell ref="B158:C158"/>
    <mergeCell ref="H158:I158"/>
    <mergeCell ref="B159:C159"/>
    <mergeCell ref="H159:I159"/>
    <mergeCell ref="B160:C160"/>
    <mergeCell ref="H160:I160"/>
    <mergeCell ref="B155:C155"/>
    <mergeCell ref="H155:I155"/>
    <mergeCell ref="B156:C156"/>
    <mergeCell ref="H156:I156"/>
    <mergeCell ref="B157:C157"/>
    <mergeCell ref="H157:I157"/>
    <mergeCell ref="B152:C152"/>
    <mergeCell ref="H152:I152"/>
    <mergeCell ref="B153:C153"/>
    <mergeCell ref="H153:I153"/>
    <mergeCell ref="B154:C154"/>
    <mergeCell ref="H154:I154"/>
    <mergeCell ref="B149:C149"/>
    <mergeCell ref="H149:I149"/>
    <mergeCell ref="B150:C150"/>
    <mergeCell ref="H150:I150"/>
    <mergeCell ref="B151:C151"/>
    <mergeCell ref="H151:I151"/>
    <mergeCell ref="B146:C146"/>
    <mergeCell ref="H146:I146"/>
    <mergeCell ref="B147:C147"/>
    <mergeCell ref="H147:I147"/>
    <mergeCell ref="B148:C148"/>
    <mergeCell ref="H148:I148"/>
    <mergeCell ref="B143:C143"/>
    <mergeCell ref="H143:I143"/>
    <mergeCell ref="B144:C144"/>
    <mergeCell ref="H144:I144"/>
    <mergeCell ref="B145:C145"/>
    <mergeCell ref="H145:I145"/>
    <mergeCell ref="B140:C140"/>
    <mergeCell ref="H140:I140"/>
    <mergeCell ref="B141:C141"/>
    <mergeCell ref="H141:I141"/>
    <mergeCell ref="B142:C142"/>
    <mergeCell ref="H142:I142"/>
    <mergeCell ref="B137:C137"/>
    <mergeCell ref="H137:I137"/>
    <mergeCell ref="B138:C138"/>
    <mergeCell ref="H138:I138"/>
    <mergeCell ref="B139:C139"/>
    <mergeCell ref="H139:I139"/>
    <mergeCell ref="B134:C134"/>
    <mergeCell ref="H134:I134"/>
    <mergeCell ref="B135:C135"/>
    <mergeCell ref="H135:I135"/>
    <mergeCell ref="B136:C136"/>
    <mergeCell ref="H136:I136"/>
    <mergeCell ref="B131:C131"/>
    <mergeCell ref="H131:I131"/>
    <mergeCell ref="B132:C132"/>
    <mergeCell ref="H132:I132"/>
    <mergeCell ref="B133:C133"/>
    <mergeCell ref="H133:I133"/>
    <mergeCell ref="B128:C128"/>
    <mergeCell ref="H128:I128"/>
    <mergeCell ref="B129:C129"/>
    <mergeCell ref="H129:I129"/>
    <mergeCell ref="B130:C130"/>
    <mergeCell ref="H130:I130"/>
    <mergeCell ref="B125:C125"/>
    <mergeCell ref="H125:I125"/>
    <mergeCell ref="B126:C126"/>
    <mergeCell ref="H126:I126"/>
    <mergeCell ref="B127:C127"/>
    <mergeCell ref="H127:I127"/>
    <mergeCell ref="B122:C122"/>
    <mergeCell ref="H122:I122"/>
    <mergeCell ref="B123:C123"/>
    <mergeCell ref="H123:I123"/>
    <mergeCell ref="B124:C124"/>
    <mergeCell ref="H124:I124"/>
    <mergeCell ref="B119:C119"/>
    <mergeCell ref="H119:I119"/>
    <mergeCell ref="B120:C120"/>
    <mergeCell ref="H120:I120"/>
    <mergeCell ref="B121:C121"/>
    <mergeCell ref="H121:I121"/>
    <mergeCell ref="B116:C116"/>
    <mergeCell ref="H116:I116"/>
    <mergeCell ref="B117:C117"/>
    <mergeCell ref="H117:I117"/>
    <mergeCell ref="B118:C118"/>
    <mergeCell ref="H118:I118"/>
    <mergeCell ref="B113:C113"/>
    <mergeCell ref="H113:I113"/>
    <mergeCell ref="B114:C114"/>
    <mergeCell ref="H114:I114"/>
    <mergeCell ref="B115:C115"/>
    <mergeCell ref="H115:I115"/>
    <mergeCell ref="B110:C110"/>
    <mergeCell ref="H110:I110"/>
    <mergeCell ref="B111:C111"/>
    <mergeCell ref="H111:I111"/>
    <mergeCell ref="B112:C112"/>
    <mergeCell ref="H112:I112"/>
    <mergeCell ref="B107:C107"/>
    <mergeCell ref="H107:I107"/>
    <mergeCell ref="B108:C108"/>
    <mergeCell ref="H108:I108"/>
    <mergeCell ref="B109:C109"/>
    <mergeCell ref="H109:I109"/>
    <mergeCell ref="B104:C104"/>
    <mergeCell ref="H104:I104"/>
    <mergeCell ref="B105:C105"/>
    <mergeCell ref="H105:I105"/>
    <mergeCell ref="B106:C106"/>
    <mergeCell ref="H106:I106"/>
    <mergeCell ref="B101:C101"/>
    <mergeCell ref="H101:I101"/>
    <mergeCell ref="B102:C102"/>
    <mergeCell ref="H102:I102"/>
    <mergeCell ref="B103:C103"/>
    <mergeCell ref="H103:I103"/>
    <mergeCell ref="B98:C98"/>
    <mergeCell ref="H98:I98"/>
    <mergeCell ref="B99:C99"/>
    <mergeCell ref="H99:I99"/>
    <mergeCell ref="B100:C100"/>
    <mergeCell ref="H100:I100"/>
    <mergeCell ref="B95:C95"/>
    <mergeCell ref="H95:I95"/>
    <mergeCell ref="B96:C96"/>
    <mergeCell ref="H96:I96"/>
    <mergeCell ref="B97:C97"/>
    <mergeCell ref="H97:I97"/>
    <mergeCell ref="B92:C92"/>
    <mergeCell ref="H92:I92"/>
    <mergeCell ref="B93:C93"/>
    <mergeCell ref="H93:I93"/>
    <mergeCell ref="B94:C94"/>
    <mergeCell ref="H94:I94"/>
    <mergeCell ref="B89:C89"/>
    <mergeCell ref="H89:I89"/>
    <mergeCell ref="B90:C90"/>
    <mergeCell ref="H90:I90"/>
    <mergeCell ref="B91:C91"/>
    <mergeCell ref="H91:I91"/>
    <mergeCell ref="B86:C86"/>
    <mergeCell ref="H86:I86"/>
    <mergeCell ref="B87:C87"/>
    <mergeCell ref="H87:I87"/>
    <mergeCell ref="B88:C88"/>
    <mergeCell ref="H88:I88"/>
    <mergeCell ref="B83:C83"/>
    <mergeCell ref="H83:I83"/>
    <mergeCell ref="B84:C84"/>
    <mergeCell ref="H84:I84"/>
    <mergeCell ref="B85:C85"/>
    <mergeCell ref="H85:I85"/>
    <mergeCell ref="B80:C80"/>
    <mergeCell ref="H80:I80"/>
    <mergeCell ref="B81:C81"/>
    <mergeCell ref="H81:I81"/>
    <mergeCell ref="B82:C82"/>
    <mergeCell ref="H82:I82"/>
    <mergeCell ref="B77:C77"/>
    <mergeCell ref="H77:I77"/>
    <mergeCell ref="B78:C78"/>
    <mergeCell ref="H78:I78"/>
    <mergeCell ref="B79:C79"/>
    <mergeCell ref="H79:I79"/>
    <mergeCell ref="B74:C74"/>
    <mergeCell ref="H74:I74"/>
    <mergeCell ref="B75:C75"/>
    <mergeCell ref="H75:I75"/>
    <mergeCell ref="B76:C76"/>
    <mergeCell ref="H76:I76"/>
    <mergeCell ref="B71:C71"/>
    <mergeCell ref="H71:I71"/>
    <mergeCell ref="B72:C72"/>
    <mergeCell ref="H72:I72"/>
    <mergeCell ref="B73:C73"/>
    <mergeCell ref="H73:I73"/>
    <mergeCell ref="B68:C68"/>
    <mergeCell ref="H68:I68"/>
    <mergeCell ref="B69:C69"/>
    <mergeCell ref="H69:I69"/>
    <mergeCell ref="B70:C70"/>
    <mergeCell ref="H70:I70"/>
    <mergeCell ref="B65:C65"/>
    <mergeCell ref="H65:I65"/>
    <mergeCell ref="B66:C66"/>
    <mergeCell ref="H66:I66"/>
    <mergeCell ref="B67:C67"/>
    <mergeCell ref="H67:I67"/>
    <mergeCell ref="B62:C62"/>
    <mergeCell ref="H62:I62"/>
    <mergeCell ref="B63:C63"/>
    <mergeCell ref="H63:I63"/>
    <mergeCell ref="B64:C64"/>
    <mergeCell ref="H64:I64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47:C47"/>
    <mergeCell ref="H47:I47"/>
    <mergeCell ref="B48:C48"/>
    <mergeCell ref="H48:I48"/>
    <mergeCell ref="B49:C49"/>
    <mergeCell ref="H49:I49"/>
    <mergeCell ref="B44:C44"/>
    <mergeCell ref="H44:I44"/>
    <mergeCell ref="B45:C45"/>
    <mergeCell ref="H45:I45"/>
    <mergeCell ref="B46:C46"/>
    <mergeCell ref="H46:I46"/>
    <mergeCell ref="B41:C41"/>
    <mergeCell ref="H41:I41"/>
    <mergeCell ref="B42:C42"/>
    <mergeCell ref="H42:I42"/>
    <mergeCell ref="B43:C43"/>
    <mergeCell ref="H43:I43"/>
    <mergeCell ref="B38:C38"/>
    <mergeCell ref="H38:I38"/>
    <mergeCell ref="B39:C39"/>
    <mergeCell ref="H39:I39"/>
    <mergeCell ref="B40:C40"/>
    <mergeCell ref="H40:I40"/>
    <mergeCell ref="B35:C35"/>
    <mergeCell ref="H35:I35"/>
    <mergeCell ref="B36:C36"/>
    <mergeCell ref="H36:I36"/>
    <mergeCell ref="B37:C37"/>
    <mergeCell ref="H37:I37"/>
    <mergeCell ref="B32:C32"/>
    <mergeCell ref="H32:I32"/>
    <mergeCell ref="B33:C33"/>
    <mergeCell ref="H33:I33"/>
    <mergeCell ref="B34:C34"/>
    <mergeCell ref="H34:I34"/>
    <mergeCell ref="B29:C29"/>
    <mergeCell ref="H29:I29"/>
    <mergeCell ref="B30:C30"/>
    <mergeCell ref="H30:I30"/>
    <mergeCell ref="B31:C31"/>
    <mergeCell ref="H31:I31"/>
    <mergeCell ref="B26:C26"/>
    <mergeCell ref="H26:I26"/>
    <mergeCell ref="B27:C27"/>
    <mergeCell ref="H27:I27"/>
    <mergeCell ref="B28:C28"/>
    <mergeCell ref="H28:I28"/>
    <mergeCell ref="B23:C23"/>
    <mergeCell ref="H23:I23"/>
    <mergeCell ref="B24:C24"/>
    <mergeCell ref="H24:I24"/>
    <mergeCell ref="B25:C25"/>
    <mergeCell ref="H25:I25"/>
    <mergeCell ref="B20:C20"/>
    <mergeCell ref="H20:I20"/>
    <mergeCell ref="B21:C21"/>
    <mergeCell ref="H21:I21"/>
    <mergeCell ref="B22:C22"/>
    <mergeCell ref="H22:I22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A9:I9"/>
    <mergeCell ref="A10:I10"/>
    <mergeCell ref="A11:I11"/>
    <mergeCell ref="A12:I12"/>
    <mergeCell ref="B13:C13"/>
    <mergeCell ref="H13:I13"/>
    <mergeCell ref="A1:B1"/>
    <mergeCell ref="C1:H4"/>
    <mergeCell ref="A5:I5"/>
    <mergeCell ref="A6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414"/>
  <sheetViews>
    <sheetView topLeftCell="A2" workbookViewId="0">
      <selection activeCell="E6" sqref="E6"/>
    </sheetView>
  </sheetViews>
  <sheetFormatPr defaultColWidth="9.109375" defaultRowHeight="14.4"/>
  <cols>
    <col min="1" max="1" width="9.109375" style="149"/>
    <col min="2" max="2" width="10.109375" style="148" bestFit="1" customWidth="1"/>
    <col min="3" max="3" width="10.109375" style="148" hidden="1" customWidth="1"/>
    <col min="4" max="4" width="14.88671875" style="148" customWidth="1"/>
    <col min="5" max="5" width="14.33203125" style="149" bestFit="1" customWidth="1"/>
    <col min="6" max="6" width="15" style="149" bestFit="1" customWidth="1"/>
    <col min="7" max="7" width="15.33203125" style="150" bestFit="1" customWidth="1"/>
    <col min="8" max="8" width="13.33203125" style="150" customWidth="1"/>
    <col min="9" max="9" width="14.33203125" style="149" bestFit="1" customWidth="1"/>
    <col min="10" max="10" width="9.109375" style="149"/>
    <col min="11" max="11" width="10.5546875" style="149" hidden="1" customWidth="1"/>
    <col min="12" max="12" width="16.33203125" style="149" customWidth="1"/>
    <col min="13" max="14" width="14.33203125" style="149" customWidth="1"/>
    <col min="15" max="16" width="13.33203125" style="149" hidden="1" customWidth="1"/>
    <col min="17" max="17" width="14.33203125" style="149" hidden="1" customWidth="1"/>
    <col min="18" max="19" width="13.33203125" style="149" hidden="1" customWidth="1"/>
    <col min="20" max="29" width="13.33203125" style="149" bestFit="1" customWidth="1"/>
    <col min="30" max="30" width="11.5546875" style="149" bestFit="1" customWidth="1"/>
    <col min="31" max="32" width="14.33203125" style="149" bestFit="1" customWidth="1"/>
    <col min="33" max="16384" width="9.109375" style="149"/>
  </cols>
  <sheetData>
    <row r="1" spans="2:32" hidden="1">
      <c r="B1" s="148" t="s">
        <v>72</v>
      </c>
      <c r="E1" s="149">
        <v>4.55</v>
      </c>
    </row>
    <row r="2" spans="2:32">
      <c r="L2" s="185"/>
      <c r="M2" s="185"/>
      <c r="O2" s="149">
        <v>2018</v>
      </c>
      <c r="P2" s="149">
        <f>O2+1</f>
        <v>2019</v>
      </c>
      <c r="Q2" s="149">
        <f t="shared" ref="Q2:Z2" si="0">P2+1</f>
        <v>2020</v>
      </c>
      <c r="R2" s="149">
        <f t="shared" si="0"/>
        <v>2021</v>
      </c>
      <c r="S2" s="149">
        <f t="shared" si="0"/>
        <v>2022</v>
      </c>
      <c r="T2" s="149">
        <f t="shared" si="0"/>
        <v>2023</v>
      </c>
      <c r="U2" s="149">
        <f t="shared" si="0"/>
        <v>2024</v>
      </c>
      <c r="V2" s="149">
        <f t="shared" si="0"/>
        <v>2025</v>
      </c>
      <c r="W2" s="149">
        <f t="shared" si="0"/>
        <v>2026</v>
      </c>
      <c r="X2" s="149">
        <f t="shared" si="0"/>
        <v>2027</v>
      </c>
      <c r="Y2" s="149">
        <f t="shared" si="0"/>
        <v>2028</v>
      </c>
      <c r="Z2" s="149">
        <f t="shared" si="0"/>
        <v>2029</v>
      </c>
      <c r="AA2" s="149">
        <f>Z2+1</f>
        <v>2030</v>
      </c>
      <c r="AB2" s="149">
        <f t="shared" ref="AB2:AC2" si="1">AA2+1</f>
        <v>2031</v>
      </c>
      <c r="AC2" s="149">
        <f t="shared" si="1"/>
        <v>2032</v>
      </c>
    </row>
    <row r="3" spans="2:32">
      <c r="B3" s="316" t="s">
        <v>82</v>
      </c>
      <c r="C3" s="316"/>
      <c r="D3" s="316"/>
      <c r="E3" s="316"/>
      <c r="F3" s="316"/>
      <c r="G3" s="316"/>
      <c r="H3" s="316"/>
      <c r="I3" s="316"/>
      <c r="N3" s="157" t="s">
        <v>33</v>
      </c>
      <c r="O3" s="152">
        <f>L28</f>
        <v>0</v>
      </c>
      <c r="P3" s="152">
        <f>L40</f>
        <v>0</v>
      </c>
      <c r="Q3" s="152">
        <f>L52</f>
        <v>157626.06</v>
      </c>
      <c r="R3" s="152">
        <f>L64</f>
        <v>1891512.7200000004</v>
      </c>
      <c r="S3" s="152">
        <f>L76</f>
        <v>1891512.7200000004</v>
      </c>
      <c r="T3" s="152">
        <f>L88</f>
        <v>1891512.7200000004</v>
      </c>
      <c r="U3" s="152">
        <f>L100</f>
        <v>1891512.7200000004</v>
      </c>
      <c r="V3" s="152">
        <f>L112</f>
        <v>1891512.7200000004</v>
      </c>
      <c r="W3" s="152">
        <f>L124</f>
        <v>1891512.7200000004</v>
      </c>
      <c r="X3" s="152">
        <f>L136</f>
        <v>1891512.7200000004</v>
      </c>
      <c r="Y3" s="152">
        <f>L148</f>
        <v>1891512.7200000004</v>
      </c>
      <c r="Z3" s="152">
        <f>L160</f>
        <v>1891512.7200000004</v>
      </c>
      <c r="AA3" s="152">
        <f>L172</f>
        <v>1891512.7200000004</v>
      </c>
      <c r="AB3" s="152">
        <f>L184</f>
        <v>1891512.7200000004</v>
      </c>
      <c r="AC3" s="152">
        <f>L194</f>
        <v>1891512.7600000005</v>
      </c>
      <c r="AE3" s="152">
        <f>SUM(O3:AD3)</f>
        <v>22855778.740000002</v>
      </c>
    </row>
    <row r="4" spans="2:32">
      <c r="B4" s="151" t="s">
        <v>83</v>
      </c>
      <c r="E4" s="150">
        <v>24000000</v>
      </c>
      <c r="F4" s="152" t="s">
        <v>62</v>
      </c>
      <c r="N4" s="157" t="s">
        <v>31</v>
      </c>
      <c r="O4" s="152">
        <f>M28</f>
        <v>0</v>
      </c>
      <c r="P4" s="152">
        <f>M40</f>
        <v>0</v>
      </c>
      <c r="Q4" s="152">
        <f>M52</f>
        <v>1367157.39</v>
      </c>
      <c r="R4" s="152">
        <f>M64</f>
        <v>1434040.9100000001</v>
      </c>
      <c r="S4" s="152">
        <f>M76</f>
        <v>1309768.52</v>
      </c>
      <c r="T4" s="152">
        <f>M88</f>
        <v>1185496.1399999999</v>
      </c>
      <c r="U4" s="152">
        <f>M100</f>
        <v>1064259.6399999999</v>
      </c>
      <c r="V4" s="152">
        <f>M112</f>
        <v>936951.37000000011</v>
      </c>
      <c r="W4" s="152">
        <f>M124</f>
        <v>812678.99000000011</v>
      </c>
      <c r="X4" s="152">
        <f>M136</f>
        <v>688406.61999999988</v>
      </c>
      <c r="Y4" s="152">
        <f>M148</f>
        <v>565808.20000000007</v>
      </c>
      <c r="Z4" s="152">
        <f>M160</f>
        <v>439861.81999999995</v>
      </c>
      <c r="AA4" s="152">
        <f>M172</f>
        <v>315589.44</v>
      </c>
      <c r="AB4" s="152">
        <f>M184</f>
        <v>191317.04999999996</v>
      </c>
      <c r="AC4" s="152">
        <f>M194</f>
        <v>67356.77</v>
      </c>
      <c r="AE4" s="152">
        <f>SUM(O4:AD4)</f>
        <v>10378692.859999999</v>
      </c>
    </row>
    <row r="5" spans="2:32">
      <c r="B5" s="153"/>
      <c r="C5" s="153"/>
      <c r="D5" s="153"/>
      <c r="E5" s="154">
        <f>E4</f>
        <v>24000000</v>
      </c>
      <c r="F5" s="155" t="s">
        <v>62</v>
      </c>
      <c r="L5" s="152">
        <f>F53/145</f>
        <v>156538.98400000003</v>
      </c>
    </row>
    <row r="6" spans="2:32">
      <c r="B6" s="186" t="s">
        <v>96</v>
      </c>
      <c r="E6" s="156">
        <f>'Eximbank 4'!D6</f>
        <v>5.7799999999999997E-2</v>
      </c>
    </row>
    <row r="7" spans="2:32">
      <c r="B7" s="148" t="s">
        <v>28</v>
      </c>
      <c r="E7" s="156">
        <v>7.0000000000000001E-3</v>
      </c>
    </row>
    <row r="8" spans="2:32">
      <c r="B8" s="153"/>
      <c r="C8" s="153"/>
      <c r="D8" s="153"/>
      <c r="E8" s="184">
        <f>E6+E7</f>
        <v>6.4799999999999996E-2</v>
      </c>
    </row>
    <row r="9" spans="2:32" hidden="1">
      <c r="B9" s="186" t="s">
        <v>84</v>
      </c>
      <c r="E9" s="150">
        <v>0</v>
      </c>
    </row>
    <row r="10" spans="2:32" hidden="1">
      <c r="B10" s="186"/>
      <c r="E10" s="150"/>
    </row>
    <row r="11" spans="2:32" hidden="1">
      <c r="E11" s="156"/>
      <c r="F11" s="156"/>
      <c r="L11" s="157"/>
      <c r="M11" s="157"/>
      <c r="N11" s="15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F11" s="188"/>
    </row>
    <row r="12" spans="2:32">
      <c r="B12" s="159" t="s">
        <v>75</v>
      </c>
      <c r="C12" s="159"/>
      <c r="D12" s="159" t="s">
        <v>76</v>
      </c>
      <c r="E12" s="160" t="s">
        <v>77</v>
      </c>
      <c r="F12" s="159" t="s">
        <v>29</v>
      </c>
      <c r="G12" s="161" t="s">
        <v>13</v>
      </c>
      <c r="H12" s="161" t="s">
        <v>9</v>
      </c>
      <c r="I12" s="159" t="s">
        <v>32</v>
      </c>
      <c r="L12" s="157"/>
      <c r="M12" s="157"/>
      <c r="N12" s="189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F12" s="188"/>
    </row>
    <row r="13" spans="2:32">
      <c r="B13" s="162">
        <v>1</v>
      </c>
      <c r="C13" s="162"/>
      <c r="D13" s="162">
        <v>2</v>
      </c>
      <c r="E13" s="162">
        <v>3</v>
      </c>
      <c r="F13" s="162">
        <v>4</v>
      </c>
      <c r="G13" s="162">
        <v>5</v>
      </c>
      <c r="H13" s="162">
        <v>6</v>
      </c>
      <c r="I13" s="162" t="s">
        <v>78</v>
      </c>
      <c r="M13" s="152"/>
      <c r="AF13" s="152"/>
    </row>
    <row r="14" spans="2:32" hidden="1">
      <c r="B14" s="190">
        <v>43040</v>
      </c>
      <c r="C14" s="162"/>
      <c r="D14" s="162"/>
      <c r="E14" s="162"/>
      <c r="F14" s="162"/>
      <c r="G14" s="162"/>
      <c r="H14" s="162"/>
      <c r="I14" s="162"/>
      <c r="M14" s="152"/>
      <c r="AF14" s="152"/>
    </row>
    <row r="15" spans="2:32" hidden="1">
      <c r="B15" s="191">
        <v>43069</v>
      </c>
      <c r="C15" s="162"/>
      <c r="D15" s="162"/>
      <c r="E15" s="162"/>
      <c r="F15" s="162"/>
      <c r="G15" s="162"/>
      <c r="H15" s="162"/>
      <c r="I15" s="162"/>
      <c r="AF15" s="152"/>
    </row>
    <row r="16" spans="2:32" hidden="1">
      <c r="B16" s="191">
        <v>43100</v>
      </c>
      <c r="C16" s="162"/>
      <c r="D16" s="162"/>
      <c r="E16" s="162"/>
      <c r="F16" s="162"/>
      <c r="G16" s="162"/>
      <c r="H16" s="162"/>
      <c r="I16" s="162"/>
      <c r="AF16" s="152"/>
    </row>
    <row r="17" spans="2:15" hidden="1">
      <c r="B17" s="163">
        <v>43131</v>
      </c>
      <c r="C17" s="163">
        <f>B18</f>
        <v>43159</v>
      </c>
      <c r="D17" s="164"/>
      <c r="E17" s="165"/>
      <c r="F17" s="166"/>
      <c r="G17" s="164"/>
      <c r="H17" s="164"/>
      <c r="I17" s="165"/>
    </row>
    <row r="18" spans="2:15" hidden="1">
      <c r="B18" s="163">
        <f>EOMONTH(B17,1)</f>
        <v>43159</v>
      </c>
      <c r="C18" s="163">
        <f>B19</f>
        <v>43190</v>
      </c>
      <c r="D18" s="164"/>
      <c r="E18" s="166">
        <v>0</v>
      </c>
      <c r="F18" s="166">
        <v>0</v>
      </c>
      <c r="G18" s="164">
        <f t="shared" ref="G18" si="2">F17*(C17-B17)*$E$8/360</f>
        <v>0</v>
      </c>
      <c r="H18" s="164"/>
      <c r="I18" s="166">
        <f>E18+G18</f>
        <v>0</v>
      </c>
      <c r="K18" s="152">
        <f>I18/4.5</f>
        <v>0</v>
      </c>
    </row>
    <row r="19" spans="2:15" hidden="1">
      <c r="B19" s="163">
        <f>EOMONTH(B18,1)</f>
        <v>43190</v>
      </c>
      <c r="C19" s="163">
        <f>B20</f>
        <v>43220</v>
      </c>
      <c r="D19" s="192">
        <v>0</v>
      </c>
      <c r="E19" s="166"/>
      <c r="F19" s="192">
        <f>D19</f>
        <v>0</v>
      </c>
      <c r="G19" s="164">
        <v>0</v>
      </c>
      <c r="H19" s="164"/>
      <c r="I19" s="166">
        <f>E19+G19</f>
        <v>0</v>
      </c>
      <c r="K19" s="152">
        <f>I19/4.5</f>
        <v>0</v>
      </c>
    </row>
    <row r="20" spans="2:15" hidden="1">
      <c r="B20" s="163">
        <f t="shared" ref="B20:B83" si="3">EOMONTH(B19,1)</f>
        <v>43220</v>
      </c>
      <c r="C20" s="163">
        <f t="shared" ref="C20:C24" si="4">B21</f>
        <v>43251</v>
      </c>
      <c r="D20" s="163"/>
      <c r="E20" s="166"/>
      <c r="F20" s="192">
        <f>D20+F19</f>
        <v>0</v>
      </c>
      <c r="G20" s="164">
        <f>ROUND((B20-B19)*$E$8*F20/360,2)</f>
        <v>0</v>
      </c>
      <c r="H20" s="164"/>
      <c r="I20" s="192">
        <f>E20+G20</f>
        <v>0</v>
      </c>
      <c r="K20" s="152">
        <f t="shared" ref="K20:K24" si="5">I20/4.5</f>
        <v>0</v>
      </c>
    </row>
    <row r="21" spans="2:15" hidden="1">
      <c r="B21" s="163">
        <f t="shared" si="3"/>
        <v>43251</v>
      </c>
      <c r="C21" s="163">
        <f t="shared" si="4"/>
        <v>43281</v>
      </c>
      <c r="D21" s="192">
        <v>0</v>
      </c>
      <c r="E21" s="166"/>
      <c r="F21" s="192">
        <f>F20-E20+D20</f>
        <v>0</v>
      </c>
      <c r="G21" s="164">
        <f t="shared" ref="G21:G84" si="6">ROUND((B21-B20)*$E$8*F21/360,2)</f>
        <v>0</v>
      </c>
      <c r="H21" s="164"/>
      <c r="I21" s="192">
        <f t="shared" ref="I21:I84" si="7">E21+G21</f>
        <v>0</v>
      </c>
      <c r="K21" s="152">
        <f t="shared" si="5"/>
        <v>0</v>
      </c>
    </row>
    <row r="22" spans="2:15" hidden="1">
      <c r="B22" s="163">
        <f t="shared" si="3"/>
        <v>43281</v>
      </c>
      <c r="C22" s="163">
        <f t="shared" si="4"/>
        <v>43312</v>
      </c>
      <c r="D22" s="192">
        <v>0</v>
      </c>
      <c r="E22" s="166"/>
      <c r="F22" s="192">
        <f>F21-E21+D21</f>
        <v>0</v>
      </c>
      <c r="G22" s="164">
        <f t="shared" si="6"/>
        <v>0</v>
      </c>
      <c r="H22" s="164"/>
      <c r="I22" s="192">
        <f t="shared" si="7"/>
        <v>0</v>
      </c>
      <c r="K22" s="152">
        <f t="shared" si="5"/>
        <v>0</v>
      </c>
    </row>
    <row r="23" spans="2:15" hidden="1">
      <c r="B23" s="163">
        <f t="shared" si="3"/>
        <v>43312</v>
      </c>
      <c r="C23" s="163">
        <f t="shared" si="4"/>
        <v>43343</v>
      </c>
      <c r="D23" s="192">
        <v>0</v>
      </c>
      <c r="E23" s="166"/>
      <c r="F23" s="192">
        <f>F22-E22+D22</f>
        <v>0</v>
      </c>
      <c r="G23" s="164">
        <f t="shared" si="6"/>
        <v>0</v>
      </c>
      <c r="H23" s="164"/>
      <c r="I23" s="192">
        <f t="shared" si="7"/>
        <v>0</v>
      </c>
      <c r="K23" s="152">
        <f t="shared" si="5"/>
        <v>0</v>
      </c>
    </row>
    <row r="24" spans="2:15" hidden="1">
      <c r="B24" s="163">
        <f t="shared" si="3"/>
        <v>43343</v>
      </c>
      <c r="C24" s="163">
        <f t="shared" si="4"/>
        <v>43373</v>
      </c>
      <c r="D24" s="192"/>
      <c r="E24" s="166"/>
      <c r="F24" s="192">
        <f t="shared" ref="F24:F87" si="8">F23-E23+D23</f>
        <v>0</v>
      </c>
      <c r="G24" s="164">
        <f t="shared" si="6"/>
        <v>0</v>
      </c>
      <c r="H24" s="164"/>
      <c r="I24" s="192">
        <f t="shared" si="7"/>
        <v>0</v>
      </c>
      <c r="K24" s="152">
        <f t="shared" si="5"/>
        <v>0</v>
      </c>
    </row>
    <row r="25" spans="2:15" hidden="1">
      <c r="B25" s="163">
        <f t="shared" si="3"/>
        <v>43373</v>
      </c>
      <c r="C25" s="163">
        <f>B26</f>
        <v>43404</v>
      </c>
      <c r="D25" s="164"/>
      <c r="E25" s="165"/>
      <c r="F25" s="192">
        <f t="shared" si="8"/>
        <v>0</v>
      </c>
      <c r="G25" s="164">
        <f t="shared" si="6"/>
        <v>0</v>
      </c>
      <c r="H25" s="164"/>
      <c r="I25" s="192">
        <f t="shared" si="7"/>
        <v>0</v>
      </c>
    </row>
    <row r="26" spans="2:15" hidden="1">
      <c r="B26" s="163">
        <f t="shared" si="3"/>
        <v>43404</v>
      </c>
      <c r="C26" s="163">
        <f>B27</f>
        <v>43434</v>
      </c>
      <c r="D26" s="164">
        <v>0</v>
      </c>
      <c r="E26" s="166"/>
      <c r="F26" s="192">
        <f t="shared" si="8"/>
        <v>0</v>
      </c>
      <c r="G26" s="164">
        <f t="shared" si="6"/>
        <v>0</v>
      </c>
      <c r="H26" s="164"/>
      <c r="I26" s="192">
        <f t="shared" si="7"/>
        <v>0</v>
      </c>
      <c r="K26" s="152">
        <f>I26/4.5</f>
        <v>0</v>
      </c>
    </row>
    <row r="27" spans="2:15" hidden="1">
      <c r="B27" s="163">
        <f t="shared" si="3"/>
        <v>43434</v>
      </c>
      <c r="C27" s="163">
        <f>B28</f>
        <v>43465</v>
      </c>
      <c r="D27" s="192">
        <v>0</v>
      </c>
      <c r="E27" s="166"/>
      <c r="F27" s="192">
        <f t="shared" si="8"/>
        <v>0</v>
      </c>
      <c r="G27" s="164">
        <f t="shared" si="6"/>
        <v>0</v>
      </c>
      <c r="H27" s="164"/>
      <c r="I27" s="192">
        <f t="shared" si="7"/>
        <v>0</v>
      </c>
      <c r="K27" s="152">
        <f>I27/4.5</f>
        <v>0</v>
      </c>
    </row>
    <row r="28" spans="2:15" s="171" customFormat="1" hidden="1">
      <c r="B28" s="168">
        <f t="shared" si="3"/>
        <v>43465</v>
      </c>
      <c r="C28" s="168" t="e">
        <f>#REF!</f>
        <v>#REF!</v>
      </c>
      <c r="D28" s="193"/>
      <c r="E28" s="169"/>
      <c r="F28" s="194">
        <f t="shared" si="8"/>
        <v>0</v>
      </c>
      <c r="G28" s="170">
        <f t="shared" si="6"/>
        <v>0</v>
      </c>
      <c r="H28" s="170"/>
      <c r="I28" s="194">
        <f t="shared" si="7"/>
        <v>0</v>
      </c>
      <c r="K28" s="172">
        <f t="shared" ref="K28" si="9">I28/4.5</f>
        <v>0</v>
      </c>
      <c r="L28" s="172">
        <f>SUM(E17:E28)</f>
        <v>0</v>
      </c>
      <c r="M28" s="172">
        <f>SUM(G17:G28)</f>
        <v>0</v>
      </c>
      <c r="O28" s="172"/>
    </row>
    <row r="29" spans="2:15" hidden="1">
      <c r="B29" s="163">
        <f t="shared" si="3"/>
        <v>43496</v>
      </c>
      <c r="C29" s="163">
        <f>B30</f>
        <v>43524</v>
      </c>
      <c r="D29" s="164"/>
      <c r="E29" s="166"/>
      <c r="F29" s="192">
        <f t="shared" si="8"/>
        <v>0</v>
      </c>
      <c r="G29" s="164">
        <f>ROUND((B29-B28)*$E$8*F29/360,2)</f>
        <v>0</v>
      </c>
      <c r="H29" s="164"/>
      <c r="I29" s="192">
        <f t="shared" si="7"/>
        <v>0</v>
      </c>
    </row>
    <row r="30" spans="2:15" hidden="1">
      <c r="B30" s="163">
        <f t="shared" si="3"/>
        <v>43524</v>
      </c>
      <c r="C30" s="163">
        <f>B31</f>
        <v>43555</v>
      </c>
      <c r="D30" s="164"/>
      <c r="E30" s="166"/>
      <c r="F30" s="192">
        <f t="shared" si="8"/>
        <v>0</v>
      </c>
      <c r="G30" s="164">
        <f t="shared" si="6"/>
        <v>0</v>
      </c>
      <c r="H30" s="164"/>
      <c r="I30" s="192">
        <f t="shared" si="7"/>
        <v>0</v>
      </c>
      <c r="K30" s="152">
        <f>I30/4.5</f>
        <v>0</v>
      </c>
    </row>
    <row r="31" spans="2:15" hidden="1">
      <c r="B31" s="163">
        <f t="shared" si="3"/>
        <v>43555</v>
      </c>
      <c r="C31" s="163">
        <f>B32</f>
        <v>43585</v>
      </c>
      <c r="D31" s="192">
        <v>0</v>
      </c>
      <c r="E31" s="166"/>
      <c r="F31" s="192">
        <f t="shared" si="8"/>
        <v>0</v>
      </c>
      <c r="G31" s="164">
        <f t="shared" si="6"/>
        <v>0</v>
      </c>
      <c r="H31" s="164"/>
      <c r="I31" s="192">
        <f t="shared" si="7"/>
        <v>0</v>
      </c>
      <c r="K31" s="152">
        <f>I31/4.5</f>
        <v>0</v>
      </c>
      <c r="M31" s="152"/>
    </row>
    <row r="32" spans="2:15" hidden="1">
      <c r="B32" s="163">
        <f t="shared" si="3"/>
        <v>43585</v>
      </c>
      <c r="C32" s="163">
        <f t="shared" ref="C32:C95" si="10">B33</f>
        <v>43616</v>
      </c>
      <c r="D32" s="167">
        <v>0</v>
      </c>
      <c r="E32" s="166"/>
      <c r="F32" s="192">
        <f t="shared" si="8"/>
        <v>0</v>
      </c>
      <c r="G32" s="164">
        <f t="shared" si="6"/>
        <v>0</v>
      </c>
      <c r="H32" s="164"/>
      <c r="I32" s="192">
        <f t="shared" si="7"/>
        <v>0</v>
      </c>
      <c r="K32" s="152">
        <f t="shared" ref="K32:K95" si="11">I32/4.5</f>
        <v>0</v>
      </c>
      <c r="M32" s="152"/>
    </row>
    <row r="33" spans="2:30" hidden="1">
      <c r="B33" s="163">
        <f t="shared" si="3"/>
        <v>43616</v>
      </c>
      <c r="C33" s="163">
        <f t="shared" si="10"/>
        <v>43646</v>
      </c>
      <c r="D33" s="163"/>
      <c r="E33" s="166"/>
      <c r="F33" s="166">
        <f t="shared" si="8"/>
        <v>0</v>
      </c>
      <c r="G33" s="164">
        <f t="shared" si="6"/>
        <v>0</v>
      </c>
      <c r="H33" s="164"/>
      <c r="I33" s="192">
        <f t="shared" si="7"/>
        <v>0</v>
      </c>
      <c r="K33" s="152">
        <f t="shared" si="11"/>
        <v>0</v>
      </c>
    </row>
    <row r="34" spans="2:30" hidden="1">
      <c r="B34" s="163">
        <f t="shared" si="3"/>
        <v>43646</v>
      </c>
      <c r="C34" s="163">
        <f t="shared" si="10"/>
        <v>43677</v>
      </c>
      <c r="D34" s="167"/>
      <c r="E34" s="166"/>
      <c r="F34" s="166">
        <f t="shared" si="8"/>
        <v>0</v>
      </c>
      <c r="G34" s="164">
        <f t="shared" si="6"/>
        <v>0</v>
      </c>
      <c r="H34" s="164"/>
      <c r="I34" s="192">
        <f t="shared" si="7"/>
        <v>0</v>
      </c>
      <c r="K34" s="152">
        <f t="shared" si="11"/>
        <v>0</v>
      </c>
    </row>
    <row r="35" spans="2:30" hidden="1">
      <c r="B35" s="163">
        <f t="shared" si="3"/>
        <v>43677</v>
      </c>
      <c r="C35" s="163">
        <f t="shared" si="10"/>
        <v>43708</v>
      </c>
      <c r="D35" s="167"/>
      <c r="E35" s="166"/>
      <c r="F35" s="166">
        <f>F34-E34+D34</f>
        <v>0</v>
      </c>
      <c r="G35" s="164">
        <f t="shared" si="6"/>
        <v>0</v>
      </c>
      <c r="H35" s="164"/>
      <c r="I35" s="192">
        <f t="shared" si="7"/>
        <v>0</v>
      </c>
      <c r="K35" s="152">
        <f t="shared" si="11"/>
        <v>0</v>
      </c>
    </row>
    <row r="36" spans="2:30" hidden="1">
      <c r="B36" s="163">
        <f t="shared" si="3"/>
        <v>43708</v>
      </c>
      <c r="C36" s="163">
        <f t="shared" si="10"/>
        <v>43738</v>
      </c>
      <c r="D36" s="163"/>
      <c r="E36" s="166">
        <v>0</v>
      </c>
      <c r="F36" s="166">
        <f>F35-E35+D35</f>
        <v>0</v>
      </c>
      <c r="G36" s="164">
        <f t="shared" si="6"/>
        <v>0</v>
      </c>
      <c r="H36" s="164"/>
      <c r="I36" s="192">
        <f>E36+G36</f>
        <v>0</v>
      </c>
      <c r="K36" s="152">
        <f t="shared" si="11"/>
        <v>0</v>
      </c>
      <c r="L36" s="185"/>
      <c r="M36" s="185"/>
    </row>
    <row r="37" spans="2:30" hidden="1">
      <c r="B37" s="163">
        <f t="shared" si="3"/>
        <v>43738</v>
      </c>
      <c r="C37" s="163">
        <f t="shared" si="10"/>
        <v>43769</v>
      </c>
      <c r="D37" s="209"/>
      <c r="E37" s="166">
        <f>E36</f>
        <v>0</v>
      </c>
      <c r="F37" s="166">
        <f t="shared" si="8"/>
        <v>0</v>
      </c>
      <c r="G37" s="164">
        <f t="shared" si="6"/>
        <v>0</v>
      </c>
      <c r="H37" s="164"/>
      <c r="I37" s="192">
        <f t="shared" si="7"/>
        <v>0</v>
      </c>
      <c r="K37" s="152">
        <f t="shared" si="11"/>
        <v>0</v>
      </c>
      <c r="L37" s="185"/>
      <c r="M37" s="185"/>
    </row>
    <row r="38" spans="2:30" hidden="1">
      <c r="B38" s="163">
        <f t="shared" si="3"/>
        <v>43769</v>
      </c>
      <c r="C38" s="163">
        <f t="shared" si="10"/>
        <v>43799</v>
      </c>
      <c r="D38" s="167"/>
      <c r="E38" s="166">
        <f t="shared" ref="E38:E101" si="12">E37</f>
        <v>0</v>
      </c>
      <c r="F38" s="166">
        <f t="shared" si="8"/>
        <v>0</v>
      </c>
      <c r="G38" s="164">
        <f t="shared" si="6"/>
        <v>0</v>
      </c>
      <c r="H38" s="164"/>
      <c r="I38" s="192">
        <f t="shared" si="7"/>
        <v>0</v>
      </c>
      <c r="K38" s="152">
        <f t="shared" si="11"/>
        <v>0</v>
      </c>
      <c r="L38" s="185"/>
      <c r="M38" s="185"/>
    </row>
    <row r="39" spans="2:30" hidden="1">
      <c r="B39" s="163">
        <f t="shared" si="3"/>
        <v>43799</v>
      </c>
      <c r="C39" s="163">
        <f t="shared" si="10"/>
        <v>43830</v>
      </c>
      <c r="D39" s="167"/>
      <c r="E39" s="166">
        <f t="shared" si="12"/>
        <v>0</v>
      </c>
      <c r="F39" s="166">
        <f t="shared" si="8"/>
        <v>0</v>
      </c>
      <c r="G39" s="164">
        <f t="shared" si="6"/>
        <v>0</v>
      </c>
      <c r="H39" s="164"/>
      <c r="I39" s="192">
        <f t="shared" si="7"/>
        <v>0</v>
      </c>
      <c r="K39" s="152">
        <f t="shared" si="11"/>
        <v>0</v>
      </c>
      <c r="L39" s="185"/>
      <c r="M39" s="185"/>
    </row>
    <row r="40" spans="2:30" s="171" customFormat="1" hidden="1">
      <c r="B40" s="168">
        <f t="shared" si="3"/>
        <v>43830</v>
      </c>
      <c r="C40" s="168">
        <f t="shared" si="10"/>
        <v>43861</v>
      </c>
      <c r="D40" s="193">
        <v>18274467.550000001</v>
      </c>
      <c r="E40" s="169">
        <f t="shared" si="12"/>
        <v>0</v>
      </c>
      <c r="F40" s="169">
        <f t="shared" si="8"/>
        <v>0</v>
      </c>
      <c r="G40" s="170">
        <f t="shared" si="6"/>
        <v>0</v>
      </c>
      <c r="H40" s="170"/>
      <c r="I40" s="194">
        <f t="shared" si="7"/>
        <v>0</v>
      </c>
      <c r="K40" s="172">
        <f t="shared" si="11"/>
        <v>0</v>
      </c>
      <c r="L40" s="172">
        <f>SUM(E29:E40)</f>
        <v>0</v>
      </c>
      <c r="M40" s="172">
        <f>SUM(G29:G40)</f>
        <v>0</v>
      </c>
    </row>
    <row r="41" spans="2:30" s="176" customFormat="1" hidden="1">
      <c r="B41" s="173">
        <f t="shared" si="3"/>
        <v>43861</v>
      </c>
      <c r="C41" s="173">
        <f t="shared" si="10"/>
        <v>43890</v>
      </c>
      <c r="D41" s="173"/>
      <c r="E41" s="174">
        <f t="shared" si="12"/>
        <v>0</v>
      </c>
      <c r="F41" s="174">
        <f>F40-E40+D40</f>
        <v>18274467.550000001</v>
      </c>
      <c r="G41" s="175">
        <f>ROUND((B41-B40)*$E$8*F41/360,2)</f>
        <v>101971.53</v>
      </c>
      <c r="H41" s="175"/>
      <c r="I41" s="195">
        <f t="shared" si="7"/>
        <v>101971.53</v>
      </c>
      <c r="J41" s="149"/>
      <c r="K41" s="152">
        <f t="shared" si="11"/>
        <v>22660.34</v>
      </c>
      <c r="L41" s="185"/>
      <c r="M41" s="185"/>
      <c r="N41" s="149"/>
      <c r="O41" s="152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</row>
    <row r="42" spans="2:30" s="176" customFormat="1" hidden="1">
      <c r="B42" s="173">
        <f t="shared" si="3"/>
        <v>43890</v>
      </c>
      <c r="C42" s="173">
        <f t="shared" si="10"/>
        <v>43921</v>
      </c>
      <c r="D42" s="205">
        <f>21328344.55-D46-D40</f>
        <v>2827462.129999999</v>
      </c>
      <c r="E42" s="174">
        <f t="shared" si="12"/>
        <v>0</v>
      </c>
      <c r="F42" s="174">
        <f t="shared" si="8"/>
        <v>18274467.550000001</v>
      </c>
      <c r="G42" s="175">
        <f>ROUND((B42-B41)*$E$8*F42/360,2)</f>
        <v>95392.72</v>
      </c>
      <c r="H42" s="175"/>
      <c r="I42" s="195">
        <f t="shared" si="7"/>
        <v>95392.72</v>
      </c>
      <c r="J42" s="149"/>
      <c r="K42" s="152">
        <f t="shared" si="11"/>
        <v>21198.382222222222</v>
      </c>
      <c r="L42" s="185"/>
      <c r="M42" s="185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</row>
    <row r="43" spans="2:30" s="176" customFormat="1" hidden="1">
      <c r="B43" s="173">
        <f t="shared" si="3"/>
        <v>43921</v>
      </c>
      <c r="C43" s="173">
        <f t="shared" si="10"/>
        <v>43951</v>
      </c>
      <c r="D43" s="205"/>
      <c r="E43" s="174">
        <f t="shared" si="12"/>
        <v>0</v>
      </c>
      <c r="F43" s="174">
        <f t="shared" si="8"/>
        <v>21101929.68</v>
      </c>
      <c r="G43" s="175">
        <f t="shared" si="6"/>
        <v>117748.77</v>
      </c>
      <c r="H43" s="175"/>
      <c r="I43" s="195">
        <f t="shared" si="7"/>
        <v>117748.77</v>
      </c>
      <c r="J43" s="149"/>
      <c r="K43" s="152">
        <f t="shared" si="11"/>
        <v>26166.393333333333</v>
      </c>
      <c r="L43" s="185"/>
      <c r="M43" s="185"/>
      <c r="N43" s="149"/>
      <c r="O43" s="149"/>
      <c r="P43" s="149"/>
      <c r="Q43" s="185">
        <f>D40+D42+D46</f>
        <v>21328344.550000001</v>
      </c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</row>
    <row r="44" spans="2:30" s="176" customFormat="1" hidden="1">
      <c r="B44" s="173">
        <f t="shared" si="3"/>
        <v>43951</v>
      </c>
      <c r="C44" s="173">
        <f t="shared" si="10"/>
        <v>43982</v>
      </c>
      <c r="D44" s="205"/>
      <c r="E44" s="174">
        <f t="shared" si="12"/>
        <v>0</v>
      </c>
      <c r="F44" s="174">
        <f t="shared" si="8"/>
        <v>21101929.68</v>
      </c>
      <c r="G44" s="175">
        <f t="shared" si="6"/>
        <v>113950.42</v>
      </c>
      <c r="H44" s="175"/>
      <c r="I44" s="195">
        <f t="shared" si="7"/>
        <v>113950.42</v>
      </c>
      <c r="J44" s="149"/>
      <c r="K44" s="152">
        <f t="shared" si="11"/>
        <v>25322.315555555557</v>
      </c>
      <c r="L44" s="185"/>
      <c r="M44" s="185"/>
      <c r="N44" s="152"/>
      <c r="O44" s="149"/>
      <c r="P44" s="149"/>
      <c r="Q44" s="152">
        <f>Q43/147092.03</f>
        <v>145.00000135969299</v>
      </c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</row>
    <row r="45" spans="2:30" s="176" customFormat="1" hidden="1">
      <c r="B45" s="173">
        <f t="shared" si="3"/>
        <v>43982</v>
      </c>
      <c r="C45" s="173">
        <f t="shared" si="10"/>
        <v>44012</v>
      </c>
      <c r="D45" s="205"/>
      <c r="E45" s="174">
        <f t="shared" si="12"/>
        <v>0</v>
      </c>
      <c r="F45" s="174">
        <f t="shared" si="8"/>
        <v>21101929.68</v>
      </c>
      <c r="G45" s="175">
        <f t="shared" si="6"/>
        <v>117748.77</v>
      </c>
      <c r="H45" s="175"/>
      <c r="I45" s="195">
        <f t="shared" si="7"/>
        <v>117748.77</v>
      </c>
      <c r="J45" s="149"/>
      <c r="K45" s="152">
        <f t="shared" si="11"/>
        <v>26166.393333333333</v>
      </c>
      <c r="L45" s="185"/>
      <c r="M45" s="185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</row>
    <row r="46" spans="2:30" s="176" customFormat="1" hidden="1">
      <c r="B46" s="173">
        <f t="shared" si="3"/>
        <v>44012</v>
      </c>
      <c r="C46" s="173">
        <f t="shared" si="10"/>
        <v>44043</v>
      </c>
      <c r="D46" s="205">
        <v>226414.87</v>
      </c>
      <c r="E46" s="174">
        <f t="shared" si="12"/>
        <v>0</v>
      </c>
      <c r="F46" s="174">
        <f t="shared" si="8"/>
        <v>21101929.68</v>
      </c>
      <c r="G46" s="175">
        <f t="shared" si="6"/>
        <v>113950.42</v>
      </c>
      <c r="H46" s="175"/>
      <c r="I46" s="195">
        <f t="shared" si="7"/>
        <v>113950.42</v>
      </c>
      <c r="J46" s="149"/>
      <c r="K46" s="152">
        <f t="shared" si="11"/>
        <v>25322.315555555557</v>
      </c>
      <c r="L46" s="185"/>
      <c r="M46" s="185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</row>
    <row r="47" spans="2:30" s="176" customFormat="1" hidden="1">
      <c r="B47" s="173">
        <f t="shared" si="3"/>
        <v>44043</v>
      </c>
      <c r="C47" s="173">
        <f t="shared" si="10"/>
        <v>44074</v>
      </c>
      <c r="D47" s="205">
        <v>0</v>
      </c>
      <c r="E47" s="174">
        <v>0</v>
      </c>
      <c r="F47" s="174">
        <f>F46-E46+D46</f>
        <v>21328344.550000001</v>
      </c>
      <c r="G47" s="175">
        <f t="shared" si="6"/>
        <v>119012.16</v>
      </c>
      <c r="H47" s="175"/>
      <c r="I47" s="195">
        <f t="shared" si="7"/>
        <v>119012.16</v>
      </c>
      <c r="J47" s="149"/>
      <c r="K47" s="152">
        <f t="shared" si="11"/>
        <v>26447.146666666667</v>
      </c>
      <c r="L47" s="185"/>
      <c r="M47" s="185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</row>
    <row r="48" spans="2:30" s="176" customFormat="1" hidden="1">
      <c r="B48" s="178">
        <f t="shared" si="3"/>
        <v>44074</v>
      </c>
      <c r="C48" s="173">
        <f t="shared" si="10"/>
        <v>44104</v>
      </c>
      <c r="D48" s="173"/>
      <c r="E48" s="174"/>
      <c r="F48" s="174">
        <f t="shared" ref="F48:F54" si="13">F47-E47+D47</f>
        <v>21328344.550000001</v>
      </c>
      <c r="G48" s="175">
        <f t="shared" si="6"/>
        <v>119012.16</v>
      </c>
      <c r="H48" s="175"/>
      <c r="I48" s="195">
        <f t="shared" si="7"/>
        <v>119012.16</v>
      </c>
      <c r="J48" s="149"/>
      <c r="K48" s="152">
        <f t="shared" si="11"/>
        <v>26447.146666666667</v>
      </c>
      <c r="L48" s="185"/>
      <c r="M48" s="185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</row>
    <row r="49" spans="1:30" s="176" customFormat="1" hidden="1">
      <c r="B49" s="173">
        <f t="shared" si="3"/>
        <v>44104</v>
      </c>
      <c r="C49" s="173">
        <f t="shared" si="10"/>
        <v>44135</v>
      </c>
      <c r="D49" s="173"/>
      <c r="E49" s="174">
        <f t="shared" si="12"/>
        <v>0</v>
      </c>
      <c r="F49" s="174">
        <f t="shared" si="13"/>
        <v>21328344.550000001</v>
      </c>
      <c r="G49" s="175">
        <f t="shared" si="6"/>
        <v>115173.06</v>
      </c>
      <c r="H49" s="175"/>
      <c r="I49" s="195">
        <f t="shared" si="7"/>
        <v>115173.06</v>
      </c>
      <c r="J49" s="149"/>
      <c r="K49" s="152">
        <f t="shared" si="11"/>
        <v>25594.013333333332</v>
      </c>
      <c r="L49" s="185"/>
      <c r="M49" s="185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</row>
    <row r="50" spans="1:30" s="176" customFormat="1" hidden="1">
      <c r="B50" s="173">
        <f t="shared" si="3"/>
        <v>44135</v>
      </c>
      <c r="C50" s="173">
        <f t="shared" si="10"/>
        <v>44165</v>
      </c>
      <c r="D50" s="205"/>
      <c r="E50" s="174">
        <f t="shared" si="12"/>
        <v>0</v>
      </c>
      <c r="F50" s="174">
        <f t="shared" si="13"/>
        <v>21328344.550000001</v>
      </c>
      <c r="G50" s="175">
        <f t="shared" si="6"/>
        <v>119012.16</v>
      </c>
      <c r="H50" s="175"/>
      <c r="I50" s="195">
        <f t="shared" si="7"/>
        <v>119012.16</v>
      </c>
      <c r="J50" s="149"/>
      <c r="K50" s="152">
        <f t="shared" si="11"/>
        <v>26447.146666666667</v>
      </c>
      <c r="L50" s="185"/>
      <c r="M50" s="185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</row>
    <row r="51" spans="1:30" s="176" customFormat="1" hidden="1">
      <c r="B51" s="173">
        <f t="shared" si="3"/>
        <v>44165</v>
      </c>
      <c r="C51" s="173">
        <f t="shared" si="10"/>
        <v>44196</v>
      </c>
      <c r="D51" s="211"/>
      <c r="E51" s="174">
        <f t="shared" si="12"/>
        <v>0</v>
      </c>
      <c r="F51" s="174">
        <f t="shared" si="13"/>
        <v>21328344.550000001</v>
      </c>
      <c r="G51" s="175">
        <f t="shared" si="6"/>
        <v>115173.06</v>
      </c>
      <c r="H51" s="175"/>
      <c r="I51" s="195">
        <f t="shared" si="7"/>
        <v>115173.06</v>
      </c>
      <c r="J51" s="149"/>
      <c r="K51" s="152">
        <f t="shared" si="11"/>
        <v>25594.013333333332</v>
      </c>
      <c r="L51" s="185"/>
      <c r="M51" s="185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</row>
    <row r="52" spans="1:30" s="171" customFormat="1" hidden="1">
      <c r="A52" s="171">
        <v>1</v>
      </c>
      <c r="B52" s="168">
        <f t="shared" si="3"/>
        <v>44196</v>
      </c>
      <c r="C52" s="168">
        <f t="shared" si="10"/>
        <v>44227</v>
      </c>
      <c r="D52" s="214">
        <f>1291022.19+236412</f>
        <v>1527434.19</v>
      </c>
      <c r="E52" s="169">
        <f>147092.03+10534.03</f>
        <v>157626.06</v>
      </c>
      <c r="F52" s="169">
        <f t="shared" si="13"/>
        <v>21328344.550000001</v>
      </c>
      <c r="G52" s="170">
        <f t="shared" si="6"/>
        <v>119012.16</v>
      </c>
      <c r="H52" s="170"/>
      <c r="I52" s="194">
        <f t="shared" si="7"/>
        <v>276638.21999999997</v>
      </c>
      <c r="K52" s="172">
        <f t="shared" si="11"/>
        <v>61475.159999999996</v>
      </c>
      <c r="L52" s="172">
        <f>SUM(E41:E52)</f>
        <v>157626.06</v>
      </c>
      <c r="M52" s="172">
        <f>SUM(G41:G52)</f>
        <v>1367157.39</v>
      </c>
    </row>
    <row r="53" spans="1:30" s="176" customFormat="1" hidden="1">
      <c r="A53" s="215">
        <f>1+1</f>
        <v>2</v>
      </c>
      <c r="B53" s="173">
        <f t="shared" si="3"/>
        <v>44227</v>
      </c>
      <c r="C53" s="173">
        <f t="shared" si="10"/>
        <v>44255</v>
      </c>
      <c r="D53" s="173"/>
      <c r="E53" s="174">
        <f t="shared" si="12"/>
        <v>157626.06</v>
      </c>
      <c r="F53" s="174">
        <f>F52-E52+D52</f>
        <v>22698152.680000003</v>
      </c>
      <c r="G53" s="175">
        <f t="shared" si="6"/>
        <v>126655.69</v>
      </c>
      <c r="H53" s="175"/>
      <c r="I53" s="195">
        <f t="shared" si="7"/>
        <v>284281.75</v>
      </c>
      <c r="J53" s="149"/>
      <c r="K53" s="152">
        <f t="shared" si="11"/>
        <v>63173.722222222219</v>
      </c>
      <c r="L53" s="185"/>
      <c r="M53" s="185"/>
      <c r="N53" s="152"/>
      <c r="O53" s="152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</row>
    <row r="54" spans="1:30" s="176" customFormat="1" hidden="1">
      <c r="A54" s="215">
        <f>A53+1</f>
        <v>3</v>
      </c>
      <c r="B54" s="173">
        <f t="shared" si="3"/>
        <v>44255</v>
      </c>
      <c r="C54" s="173">
        <f t="shared" si="10"/>
        <v>44286</v>
      </c>
      <c r="D54" s="173"/>
      <c r="E54" s="174">
        <f t="shared" si="12"/>
        <v>157626.06</v>
      </c>
      <c r="F54" s="174">
        <f t="shared" si="13"/>
        <v>22540526.620000005</v>
      </c>
      <c r="G54" s="175">
        <f t="shared" si="6"/>
        <v>113604.25</v>
      </c>
      <c r="H54" s="175"/>
      <c r="I54" s="195">
        <f t="shared" si="7"/>
        <v>271230.31</v>
      </c>
      <c r="J54" s="149"/>
      <c r="K54" s="152">
        <f t="shared" si="11"/>
        <v>60273.402222222219</v>
      </c>
      <c r="L54" s="185"/>
      <c r="M54" s="185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</row>
    <row r="55" spans="1:30" s="176" customFormat="1" hidden="1">
      <c r="A55" s="176">
        <f t="shared" ref="A55:A118" si="14">A54+1</f>
        <v>4</v>
      </c>
      <c r="B55" s="173">
        <f t="shared" si="3"/>
        <v>44286</v>
      </c>
      <c r="C55" s="173">
        <f t="shared" si="10"/>
        <v>44316</v>
      </c>
      <c r="D55" s="173"/>
      <c r="E55" s="174">
        <f t="shared" si="12"/>
        <v>157626.06</v>
      </c>
      <c r="F55" s="174">
        <f t="shared" si="8"/>
        <v>22382900.560000006</v>
      </c>
      <c r="G55" s="175">
        <f t="shared" si="6"/>
        <v>124896.59</v>
      </c>
      <c r="H55" s="175"/>
      <c r="I55" s="195">
        <f t="shared" si="7"/>
        <v>282522.65000000002</v>
      </c>
      <c r="J55" s="149"/>
      <c r="K55" s="152">
        <f t="shared" si="11"/>
        <v>62782.811111111114</v>
      </c>
      <c r="L55" s="185"/>
      <c r="M55" s="185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</row>
    <row r="56" spans="1:30" s="176" customFormat="1" hidden="1">
      <c r="A56" s="176">
        <f t="shared" si="14"/>
        <v>5</v>
      </c>
      <c r="B56" s="173">
        <f t="shared" si="3"/>
        <v>44316</v>
      </c>
      <c r="C56" s="173">
        <f t="shared" si="10"/>
        <v>44347</v>
      </c>
      <c r="D56" s="173"/>
      <c r="E56" s="174">
        <f t="shared" si="12"/>
        <v>157626.06</v>
      </c>
      <c r="F56" s="174">
        <f t="shared" si="8"/>
        <v>22225274.500000007</v>
      </c>
      <c r="G56" s="175">
        <f t="shared" si="6"/>
        <v>120016.48</v>
      </c>
      <c r="H56" s="175"/>
      <c r="I56" s="195">
        <f t="shared" si="7"/>
        <v>277642.53999999998</v>
      </c>
      <c r="J56" s="149"/>
      <c r="K56" s="152">
        <f t="shared" si="11"/>
        <v>61698.342222222214</v>
      </c>
      <c r="L56" s="185"/>
      <c r="M56" s="185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</row>
    <row r="57" spans="1:30" s="176" customFormat="1" hidden="1">
      <c r="A57" s="176">
        <f t="shared" si="14"/>
        <v>6</v>
      </c>
      <c r="B57" s="173">
        <f t="shared" si="3"/>
        <v>44347</v>
      </c>
      <c r="C57" s="173">
        <f t="shared" si="10"/>
        <v>44377</v>
      </c>
      <c r="D57" s="173"/>
      <c r="E57" s="174">
        <f t="shared" si="12"/>
        <v>157626.06</v>
      </c>
      <c r="F57" s="174">
        <f t="shared" si="8"/>
        <v>22067648.440000009</v>
      </c>
      <c r="G57" s="175">
        <f t="shared" si="6"/>
        <v>123137.48</v>
      </c>
      <c r="H57" s="175"/>
      <c r="I57" s="195">
        <f t="shared" si="7"/>
        <v>280763.53999999998</v>
      </c>
      <c r="J57" s="149"/>
      <c r="K57" s="152">
        <f t="shared" si="11"/>
        <v>62391.897777777776</v>
      </c>
      <c r="L57" s="185"/>
      <c r="M57" s="185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</row>
    <row r="58" spans="1:30" s="176" customFormat="1" hidden="1">
      <c r="A58" s="176">
        <f t="shared" si="14"/>
        <v>7</v>
      </c>
      <c r="B58" s="173">
        <f t="shared" si="3"/>
        <v>44377</v>
      </c>
      <c r="C58" s="173">
        <f t="shared" si="10"/>
        <v>44408</v>
      </c>
      <c r="D58" s="173"/>
      <c r="E58" s="174">
        <f t="shared" si="12"/>
        <v>157626.06</v>
      </c>
      <c r="F58" s="179">
        <f t="shared" si="8"/>
        <v>21910022.38000001</v>
      </c>
      <c r="G58" s="175">
        <f t="shared" si="6"/>
        <v>118314.12</v>
      </c>
      <c r="H58" s="175"/>
      <c r="I58" s="195">
        <f t="shared" si="7"/>
        <v>275940.18</v>
      </c>
      <c r="J58" s="149"/>
      <c r="K58" s="152">
        <f t="shared" si="11"/>
        <v>61320.04</v>
      </c>
      <c r="L58" s="185"/>
      <c r="M58" s="185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</row>
    <row r="59" spans="1:30" s="176" customFormat="1" hidden="1">
      <c r="A59" s="176">
        <f t="shared" si="14"/>
        <v>8</v>
      </c>
      <c r="B59" s="173">
        <f t="shared" si="3"/>
        <v>44408</v>
      </c>
      <c r="C59" s="173">
        <f t="shared" si="10"/>
        <v>44439</v>
      </c>
      <c r="D59" s="173"/>
      <c r="E59" s="174">
        <f t="shared" si="12"/>
        <v>157626.06</v>
      </c>
      <c r="F59" s="174">
        <f t="shared" si="8"/>
        <v>21752396.320000011</v>
      </c>
      <c r="G59" s="217">
        <f>ROUND((B59-B58)*$E$8*F59/360,2)</f>
        <v>121378.37</v>
      </c>
      <c r="H59" s="175"/>
      <c r="I59" s="195">
        <f t="shared" si="7"/>
        <v>279004.43</v>
      </c>
      <c r="J59" s="149"/>
      <c r="K59" s="152">
        <f t="shared" si="11"/>
        <v>62000.984444444446</v>
      </c>
      <c r="L59" s="185"/>
      <c r="M59" s="185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</row>
    <row r="60" spans="1:30" s="176" customFormat="1" hidden="1">
      <c r="A60" s="176">
        <f t="shared" si="14"/>
        <v>9</v>
      </c>
      <c r="B60" s="173">
        <f t="shared" si="3"/>
        <v>44439</v>
      </c>
      <c r="C60" s="173">
        <f t="shared" si="10"/>
        <v>44469</v>
      </c>
      <c r="D60" s="173"/>
      <c r="E60" s="174">
        <f t="shared" si="12"/>
        <v>157626.06</v>
      </c>
      <c r="F60" s="174">
        <f t="shared" si="8"/>
        <v>21594770.260000013</v>
      </c>
      <c r="G60" s="175">
        <f t="shared" si="6"/>
        <v>120498.82</v>
      </c>
      <c r="H60" s="175"/>
      <c r="I60" s="195">
        <f t="shared" si="7"/>
        <v>278124.88</v>
      </c>
      <c r="J60" s="149"/>
      <c r="K60" s="152">
        <f t="shared" si="11"/>
        <v>61805.52888888889</v>
      </c>
      <c r="L60" s="185"/>
      <c r="M60" s="185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</row>
    <row r="61" spans="1:30" s="176" customFormat="1" hidden="1">
      <c r="A61" s="176">
        <f t="shared" si="14"/>
        <v>10</v>
      </c>
      <c r="B61" s="173">
        <f t="shared" si="3"/>
        <v>44469</v>
      </c>
      <c r="C61" s="173">
        <f t="shared" si="10"/>
        <v>44500</v>
      </c>
      <c r="D61" s="173"/>
      <c r="E61" s="174">
        <f t="shared" si="12"/>
        <v>157626.06</v>
      </c>
      <c r="F61" s="174">
        <f t="shared" si="8"/>
        <v>21437144.200000014</v>
      </c>
      <c r="G61" s="175">
        <f t="shared" si="6"/>
        <v>115760.58</v>
      </c>
      <c r="H61" s="175"/>
      <c r="I61" s="195">
        <f t="shared" si="7"/>
        <v>273386.64</v>
      </c>
      <c r="J61" s="149"/>
      <c r="K61" s="152">
        <f t="shared" si="11"/>
        <v>60752.58666666667</v>
      </c>
      <c r="L61" s="185"/>
      <c r="M61" s="185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</row>
    <row r="62" spans="1:30" s="176" customFormat="1" hidden="1">
      <c r="A62" s="176">
        <f t="shared" si="14"/>
        <v>11</v>
      </c>
      <c r="B62" s="173">
        <f t="shared" si="3"/>
        <v>44500</v>
      </c>
      <c r="C62" s="173">
        <f t="shared" si="10"/>
        <v>44530</v>
      </c>
      <c r="D62" s="173"/>
      <c r="E62" s="174">
        <f t="shared" si="12"/>
        <v>157626.06</v>
      </c>
      <c r="F62" s="174">
        <f t="shared" si="8"/>
        <v>21279518.140000015</v>
      </c>
      <c r="G62" s="175">
        <f t="shared" si="6"/>
        <v>118739.71</v>
      </c>
      <c r="H62" s="175"/>
      <c r="I62" s="195">
        <f t="shared" si="7"/>
        <v>276365.77</v>
      </c>
      <c r="J62" s="149"/>
      <c r="K62" s="152">
        <f t="shared" si="11"/>
        <v>61414.61555555556</v>
      </c>
      <c r="L62" s="185"/>
      <c r="M62" s="185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</row>
    <row r="63" spans="1:30" s="176" customFormat="1" hidden="1">
      <c r="A63" s="176">
        <f t="shared" si="14"/>
        <v>12</v>
      </c>
      <c r="B63" s="173">
        <f t="shared" si="3"/>
        <v>44530</v>
      </c>
      <c r="C63" s="173">
        <f t="shared" si="10"/>
        <v>44561</v>
      </c>
      <c r="D63" s="173"/>
      <c r="E63" s="174">
        <f t="shared" si="12"/>
        <v>157626.06</v>
      </c>
      <c r="F63" s="174">
        <f t="shared" si="8"/>
        <v>21121892.080000017</v>
      </c>
      <c r="G63" s="175">
        <f t="shared" si="6"/>
        <v>114058.22</v>
      </c>
      <c r="H63" s="175"/>
      <c r="I63" s="195">
        <f t="shared" si="7"/>
        <v>271684.28000000003</v>
      </c>
      <c r="J63" s="149"/>
      <c r="K63" s="152">
        <f t="shared" si="11"/>
        <v>60374.284444444449</v>
      </c>
      <c r="L63" s="185"/>
      <c r="M63" s="185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</row>
    <row r="64" spans="1:30" s="171" customFormat="1" hidden="1">
      <c r="A64" s="171">
        <f t="shared" si="14"/>
        <v>13</v>
      </c>
      <c r="B64" s="168">
        <f t="shared" si="3"/>
        <v>44561</v>
      </c>
      <c r="C64" s="168">
        <f t="shared" si="10"/>
        <v>44592</v>
      </c>
      <c r="D64" s="168"/>
      <c r="E64" s="169">
        <f t="shared" si="12"/>
        <v>157626.06</v>
      </c>
      <c r="F64" s="169">
        <f t="shared" si="8"/>
        <v>20964266.020000018</v>
      </c>
      <c r="G64" s="170">
        <f t="shared" si="6"/>
        <v>116980.6</v>
      </c>
      <c r="H64" s="170"/>
      <c r="I64" s="194">
        <f t="shared" si="7"/>
        <v>274606.66000000003</v>
      </c>
      <c r="K64" s="172">
        <f t="shared" si="11"/>
        <v>61023.702222222229</v>
      </c>
      <c r="L64" s="172">
        <f>SUM(E53:E64)</f>
        <v>1891512.7200000004</v>
      </c>
      <c r="M64" s="172">
        <f>SUM(G53:G64)</f>
        <v>1434040.9100000001</v>
      </c>
    </row>
    <row r="65" spans="1:30" s="176" customFormat="1" hidden="1">
      <c r="A65" s="176">
        <f t="shared" si="14"/>
        <v>14</v>
      </c>
      <c r="B65" s="173">
        <f t="shared" si="3"/>
        <v>44592</v>
      </c>
      <c r="C65" s="173">
        <f t="shared" si="10"/>
        <v>44620</v>
      </c>
      <c r="D65" s="173"/>
      <c r="E65" s="174">
        <f t="shared" si="12"/>
        <v>157626.06</v>
      </c>
      <c r="F65" s="174">
        <f t="shared" si="8"/>
        <v>20806639.96000002</v>
      </c>
      <c r="G65" s="175">
        <f t="shared" si="6"/>
        <v>116101.05</v>
      </c>
      <c r="H65" s="175"/>
      <c r="I65" s="195">
        <f t="shared" si="7"/>
        <v>273727.11</v>
      </c>
      <c r="J65" s="149"/>
      <c r="K65" s="152">
        <f t="shared" si="11"/>
        <v>60828.246666666666</v>
      </c>
      <c r="L65" s="185"/>
      <c r="M65" s="185"/>
      <c r="N65" s="152"/>
      <c r="O65" s="152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</row>
    <row r="66" spans="1:30" s="176" customFormat="1" hidden="1">
      <c r="A66" s="176">
        <f t="shared" si="14"/>
        <v>15</v>
      </c>
      <c r="B66" s="173">
        <f t="shared" si="3"/>
        <v>44620</v>
      </c>
      <c r="C66" s="173">
        <f t="shared" si="10"/>
        <v>44651</v>
      </c>
      <c r="D66" s="173"/>
      <c r="E66" s="174">
        <f t="shared" si="12"/>
        <v>157626.06</v>
      </c>
      <c r="F66" s="174">
        <f t="shared" si="8"/>
        <v>20649013.900000021</v>
      </c>
      <c r="G66" s="175">
        <f t="shared" si="6"/>
        <v>104071.03</v>
      </c>
      <c r="H66" s="175"/>
      <c r="I66" s="195">
        <f t="shared" si="7"/>
        <v>261697.09</v>
      </c>
      <c r="J66" s="149"/>
      <c r="K66" s="152">
        <f t="shared" si="11"/>
        <v>58154.908888888887</v>
      </c>
      <c r="L66" s="185"/>
      <c r="M66" s="185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</row>
    <row r="67" spans="1:30" s="176" customFormat="1" hidden="1">
      <c r="A67" s="176">
        <f t="shared" si="14"/>
        <v>16</v>
      </c>
      <c r="B67" s="173">
        <f t="shared" si="3"/>
        <v>44651</v>
      </c>
      <c r="C67" s="173">
        <f t="shared" si="10"/>
        <v>44681</v>
      </c>
      <c r="D67" s="173"/>
      <c r="E67" s="174">
        <f t="shared" si="12"/>
        <v>157626.06</v>
      </c>
      <c r="F67" s="174">
        <f t="shared" si="8"/>
        <v>20491387.840000022</v>
      </c>
      <c r="G67" s="175">
        <f t="shared" si="6"/>
        <v>114341.94</v>
      </c>
      <c r="H67" s="175"/>
      <c r="I67" s="195">
        <f t="shared" si="7"/>
        <v>271968</v>
      </c>
      <c r="J67" s="149"/>
      <c r="K67" s="152">
        <f t="shared" si="11"/>
        <v>60437.333333333336</v>
      </c>
      <c r="L67" s="185"/>
      <c r="M67" s="185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</row>
    <row r="68" spans="1:30" s="176" customFormat="1" hidden="1">
      <c r="A68" s="176">
        <f t="shared" si="14"/>
        <v>17</v>
      </c>
      <c r="B68" s="173">
        <f t="shared" si="3"/>
        <v>44681</v>
      </c>
      <c r="C68" s="173">
        <f t="shared" si="10"/>
        <v>44712</v>
      </c>
      <c r="D68" s="173"/>
      <c r="E68" s="174">
        <f t="shared" si="12"/>
        <v>157626.06</v>
      </c>
      <c r="F68" s="174">
        <f t="shared" si="8"/>
        <v>20333761.780000024</v>
      </c>
      <c r="G68" s="175">
        <f t="shared" si="6"/>
        <v>109802.31</v>
      </c>
      <c r="H68" s="175"/>
      <c r="I68" s="195">
        <f t="shared" si="7"/>
        <v>267428.37</v>
      </c>
      <c r="J68" s="149"/>
      <c r="K68" s="152">
        <f t="shared" si="11"/>
        <v>59428.526666666665</v>
      </c>
      <c r="L68" s="185"/>
      <c r="M68" s="185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</row>
    <row r="69" spans="1:30" s="176" customFormat="1" hidden="1">
      <c r="A69" s="176">
        <f t="shared" si="14"/>
        <v>18</v>
      </c>
      <c r="B69" s="173">
        <f t="shared" si="3"/>
        <v>44712</v>
      </c>
      <c r="C69" s="173">
        <f t="shared" si="10"/>
        <v>44742</v>
      </c>
      <c r="D69" s="173"/>
      <c r="E69" s="174">
        <f t="shared" si="12"/>
        <v>157626.06</v>
      </c>
      <c r="F69" s="174">
        <f t="shared" si="8"/>
        <v>20176135.720000025</v>
      </c>
      <c r="G69" s="175">
        <f t="shared" si="6"/>
        <v>112582.84</v>
      </c>
      <c r="H69" s="175"/>
      <c r="I69" s="195">
        <f t="shared" si="7"/>
        <v>270208.90000000002</v>
      </c>
      <c r="J69" s="149"/>
      <c r="K69" s="152">
        <f t="shared" si="11"/>
        <v>60046.422222222231</v>
      </c>
      <c r="L69" s="185"/>
      <c r="M69" s="185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</row>
    <row r="70" spans="1:30" s="176" customFormat="1" hidden="1">
      <c r="A70" s="176">
        <f t="shared" si="14"/>
        <v>19</v>
      </c>
      <c r="B70" s="173">
        <f t="shared" si="3"/>
        <v>44742</v>
      </c>
      <c r="C70" s="173">
        <f t="shared" si="10"/>
        <v>44773</v>
      </c>
      <c r="D70" s="173"/>
      <c r="E70" s="174">
        <f t="shared" si="12"/>
        <v>157626.06</v>
      </c>
      <c r="F70" s="174">
        <f t="shared" si="8"/>
        <v>20018509.660000026</v>
      </c>
      <c r="G70" s="175">
        <f t="shared" si="6"/>
        <v>108099.95</v>
      </c>
      <c r="H70" s="175"/>
      <c r="I70" s="195">
        <f t="shared" si="7"/>
        <v>265726.01</v>
      </c>
      <c r="J70" s="149"/>
      <c r="K70" s="152">
        <f t="shared" si="11"/>
        <v>59050.224444444444</v>
      </c>
      <c r="L70" s="185"/>
      <c r="M70" s="185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</row>
    <row r="71" spans="1:30" s="176" customFormat="1" hidden="1">
      <c r="A71" s="176">
        <f t="shared" si="14"/>
        <v>20</v>
      </c>
      <c r="B71" s="173">
        <f t="shared" si="3"/>
        <v>44773</v>
      </c>
      <c r="C71" s="173">
        <f t="shared" si="10"/>
        <v>44804</v>
      </c>
      <c r="D71" s="173"/>
      <c r="E71" s="174">
        <f t="shared" si="12"/>
        <v>157626.06</v>
      </c>
      <c r="F71" s="174">
        <f t="shared" si="8"/>
        <v>19860883.600000028</v>
      </c>
      <c r="G71" s="175">
        <f t="shared" si="6"/>
        <v>110823.73</v>
      </c>
      <c r="H71" s="175"/>
      <c r="I71" s="195">
        <f t="shared" si="7"/>
        <v>268449.78999999998</v>
      </c>
      <c r="J71" s="149"/>
      <c r="K71" s="152">
        <f t="shared" si="11"/>
        <v>59655.508888888886</v>
      </c>
      <c r="L71" s="185"/>
      <c r="M71" s="185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</row>
    <row r="72" spans="1:30" s="176" customFormat="1" hidden="1">
      <c r="A72" s="176">
        <f t="shared" si="14"/>
        <v>21</v>
      </c>
      <c r="B72" s="173">
        <f t="shared" si="3"/>
        <v>44804</v>
      </c>
      <c r="C72" s="173">
        <f t="shared" si="10"/>
        <v>44834</v>
      </c>
      <c r="D72" s="173"/>
      <c r="E72" s="174">
        <f t="shared" si="12"/>
        <v>157626.06</v>
      </c>
      <c r="F72" s="174">
        <f t="shared" si="8"/>
        <v>19703257.540000029</v>
      </c>
      <c r="G72" s="175">
        <f t="shared" si="6"/>
        <v>109944.18</v>
      </c>
      <c r="H72" s="175"/>
      <c r="I72" s="195">
        <f t="shared" si="7"/>
        <v>267570.24</v>
      </c>
      <c r="J72" s="149"/>
      <c r="K72" s="152">
        <f t="shared" si="11"/>
        <v>59460.05333333333</v>
      </c>
      <c r="L72" s="185"/>
      <c r="M72" s="185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</row>
    <row r="73" spans="1:30" s="176" customFormat="1" hidden="1">
      <c r="A73" s="176">
        <f t="shared" si="14"/>
        <v>22</v>
      </c>
      <c r="B73" s="173">
        <f t="shared" si="3"/>
        <v>44834</v>
      </c>
      <c r="C73" s="173">
        <f t="shared" si="10"/>
        <v>44865</v>
      </c>
      <c r="D73" s="173"/>
      <c r="E73" s="174">
        <f t="shared" si="12"/>
        <v>157626.06</v>
      </c>
      <c r="F73" s="174">
        <f t="shared" si="8"/>
        <v>19545631.48000003</v>
      </c>
      <c r="G73" s="175">
        <f t="shared" si="6"/>
        <v>105546.41</v>
      </c>
      <c r="H73" s="175"/>
      <c r="I73" s="195">
        <f t="shared" si="7"/>
        <v>263172.46999999997</v>
      </c>
      <c r="J73" s="149"/>
      <c r="K73" s="152">
        <f t="shared" si="11"/>
        <v>58482.771111111106</v>
      </c>
      <c r="L73" s="185"/>
      <c r="M73" s="185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</row>
    <row r="74" spans="1:30" s="176" customFormat="1" hidden="1">
      <c r="A74" s="176">
        <f t="shared" si="14"/>
        <v>23</v>
      </c>
      <c r="B74" s="173">
        <f t="shared" si="3"/>
        <v>44865</v>
      </c>
      <c r="C74" s="173">
        <f t="shared" si="10"/>
        <v>44895</v>
      </c>
      <c r="D74" s="173"/>
      <c r="E74" s="174">
        <f t="shared" si="12"/>
        <v>157626.06</v>
      </c>
      <c r="F74" s="174">
        <f t="shared" si="8"/>
        <v>19388005.420000032</v>
      </c>
      <c r="G74" s="175">
        <f t="shared" si="6"/>
        <v>108185.07</v>
      </c>
      <c r="H74" s="175"/>
      <c r="I74" s="195">
        <f t="shared" si="7"/>
        <v>265811.13</v>
      </c>
      <c r="J74" s="149"/>
      <c r="K74" s="152">
        <f t="shared" si="11"/>
        <v>59069.14</v>
      </c>
      <c r="L74" s="185"/>
      <c r="M74" s="185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</row>
    <row r="75" spans="1:30" s="176" customFormat="1" hidden="1">
      <c r="A75" s="176">
        <f t="shared" si="14"/>
        <v>24</v>
      </c>
      <c r="B75" s="173">
        <f t="shared" si="3"/>
        <v>44895</v>
      </c>
      <c r="C75" s="173">
        <f t="shared" si="10"/>
        <v>44926</v>
      </c>
      <c r="D75" s="173"/>
      <c r="E75" s="174">
        <f t="shared" si="12"/>
        <v>157626.06</v>
      </c>
      <c r="F75" s="174">
        <f t="shared" si="8"/>
        <v>19230379.360000033</v>
      </c>
      <c r="G75" s="175">
        <f t="shared" si="6"/>
        <v>103844.05</v>
      </c>
      <c r="H75" s="175"/>
      <c r="I75" s="195">
        <f t="shared" si="7"/>
        <v>261470.11</v>
      </c>
      <c r="J75" s="149"/>
      <c r="K75" s="152">
        <f t="shared" si="11"/>
        <v>58104.468888888885</v>
      </c>
      <c r="L75" s="185"/>
      <c r="M75" s="185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</row>
    <row r="76" spans="1:30" s="171" customFormat="1" hidden="1">
      <c r="A76" s="171">
        <f t="shared" si="14"/>
        <v>25</v>
      </c>
      <c r="B76" s="168">
        <f t="shared" si="3"/>
        <v>44926</v>
      </c>
      <c r="C76" s="168">
        <f t="shared" si="10"/>
        <v>44957</v>
      </c>
      <c r="D76" s="168"/>
      <c r="E76" s="169">
        <f t="shared" si="12"/>
        <v>157626.06</v>
      </c>
      <c r="F76" s="169">
        <f t="shared" si="8"/>
        <v>19072753.300000034</v>
      </c>
      <c r="G76" s="170">
        <f t="shared" si="6"/>
        <v>106425.96</v>
      </c>
      <c r="H76" s="170"/>
      <c r="I76" s="194">
        <f t="shared" si="7"/>
        <v>264052.02</v>
      </c>
      <c r="K76" s="172">
        <f t="shared" si="11"/>
        <v>58678.226666666669</v>
      </c>
      <c r="L76" s="172">
        <f>SUM(E65:E76)</f>
        <v>1891512.7200000004</v>
      </c>
      <c r="M76" s="172">
        <f>SUM(G65:G76)</f>
        <v>1309768.52</v>
      </c>
    </row>
    <row r="77" spans="1:30" s="176" customFormat="1">
      <c r="A77" s="176">
        <f t="shared" si="14"/>
        <v>26</v>
      </c>
      <c r="B77" s="173">
        <f t="shared" si="3"/>
        <v>44957</v>
      </c>
      <c r="C77" s="173">
        <f t="shared" si="10"/>
        <v>44985</v>
      </c>
      <c r="D77" s="173"/>
      <c r="E77" s="174">
        <f t="shared" si="12"/>
        <v>157626.06</v>
      </c>
      <c r="F77" s="174">
        <f t="shared" si="8"/>
        <v>18915127.240000036</v>
      </c>
      <c r="G77" s="175">
        <f t="shared" si="6"/>
        <v>105546.41</v>
      </c>
      <c r="H77" s="175"/>
      <c r="I77" s="195">
        <f t="shared" si="7"/>
        <v>263172.46999999997</v>
      </c>
      <c r="J77" s="149"/>
      <c r="K77" s="152">
        <f t="shared" si="11"/>
        <v>58482.771111111106</v>
      </c>
      <c r="L77" s="185"/>
      <c r="M77" s="185"/>
      <c r="N77" s="152"/>
      <c r="O77" s="152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</row>
    <row r="78" spans="1:30" s="176" customFormat="1">
      <c r="A78" s="176">
        <f t="shared" si="14"/>
        <v>27</v>
      </c>
      <c r="B78" s="173">
        <f t="shared" si="3"/>
        <v>44985</v>
      </c>
      <c r="C78" s="173">
        <f t="shared" si="10"/>
        <v>45016</v>
      </c>
      <c r="D78" s="173"/>
      <c r="E78" s="174">
        <f t="shared" si="12"/>
        <v>157626.06</v>
      </c>
      <c r="F78" s="174">
        <f t="shared" si="8"/>
        <v>18757501.180000037</v>
      </c>
      <c r="G78" s="175">
        <f t="shared" si="6"/>
        <v>94537.81</v>
      </c>
      <c r="H78" s="175"/>
      <c r="I78" s="195">
        <f t="shared" si="7"/>
        <v>252163.87</v>
      </c>
      <c r="J78" s="149"/>
      <c r="K78" s="152">
        <f t="shared" si="11"/>
        <v>56036.415555555555</v>
      </c>
      <c r="L78" s="185"/>
      <c r="M78" s="185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</row>
    <row r="79" spans="1:30" s="176" customFormat="1">
      <c r="A79" s="176">
        <f t="shared" si="14"/>
        <v>28</v>
      </c>
      <c r="B79" s="173">
        <f t="shared" si="3"/>
        <v>45016</v>
      </c>
      <c r="C79" s="173">
        <f t="shared" si="10"/>
        <v>45046</v>
      </c>
      <c r="D79" s="173"/>
      <c r="E79" s="174">
        <f t="shared" si="12"/>
        <v>157626.06</v>
      </c>
      <c r="F79" s="174">
        <f t="shared" si="8"/>
        <v>18599875.120000038</v>
      </c>
      <c r="G79" s="175">
        <f t="shared" si="6"/>
        <v>103787.3</v>
      </c>
      <c r="H79" s="175"/>
      <c r="I79" s="195">
        <f t="shared" si="7"/>
        <v>261413.36</v>
      </c>
      <c r="J79" s="149"/>
      <c r="K79" s="152">
        <f t="shared" si="11"/>
        <v>58091.857777777775</v>
      </c>
      <c r="L79" s="185"/>
      <c r="M79" s="185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</row>
    <row r="80" spans="1:30" s="176" customFormat="1">
      <c r="A80" s="176">
        <f t="shared" si="14"/>
        <v>29</v>
      </c>
      <c r="B80" s="173">
        <f t="shared" si="3"/>
        <v>45046</v>
      </c>
      <c r="C80" s="173">
        <f t="shared" si="10"/>
        <v>45077</v>
      </c>
      <c r="D80" s="173"/>
      <c r="E80" s="174">
        <f t="shared" si="12"/>
        <v>157626.06</v>
      </c>
      <c r="F80" s="174">
        <f t="shared" si="8"/>
        <v>18442249.06000004</v>
      </c>
      <c r="G80" s="175">
        <f t="shared" si="6"/>
        <v>99588.14</v>
      </c>
      <c r="H80" s="175"/>
      <c r="I80" s="195">
        <f t="shared" si="7"/>
        <v>257214.2</v>
      </c>
      <c r="J80" s="149"/>
      <c r="K80" s="152">
        <f t="shared" si="11"/>
        <v>57158.711111111115</v>
      </c>
      <c r="L80" s="185"/>
      <c r="M80" s="185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</row>
    <row r="81" spans="1:30" s="176" customFormat="1">
      <c r="A81" s="176">
        <f t="shared" si="14"/>
        <v>30</v>
      </c>
      <c r="B81" s="173">
        <f t="shared" si="3"/>
        <v>45077</v>
      </c>
      <c r="C81" s="173">
        <f t="shared" si="10"/>
        <v>45107</v>
      </c>
      <c r="D81" s="173"/>
      <c r="E81" s="174">
        <f t="shared" si="12"/>
        <v>157626.06</v>
      </c>
      <c r="F81" s="174">
        <f t="shared" si="8"/>
        <v>18284623.000000041</v>
      </c>
      <c r="G81" s="175">
        <f t="shared" si="6"/>
        <v>102028.2</v>
      </c>
      <c r="H81" s="175"/>
      <c r="I81" s="195">
        <f t="shared" si="7"/>
        <v>259654.26</v>
      </c>
      <c r="J81" s="149"/>
      <c r="K81" s="152">
        <f t="shared" si="11"/>
        <v>57700.94666666667</v>
      </c>
      <c r="L81" s="185"/>
      <c r="M81" s="185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</row>
    <row r="82" spans="1:30" s="176" customFormat="1">
      <c r="A82" s="176">
        <f t="shared" si="14"/>
        <v>31</v>
      </c>
      <c r="B82" s="173">
        <f t="shared" si="3"/>
        <v>45107</v>
      </c>
      <c r="C82" s="173">
        <f t="shared" si="10"/>
        <v>45138</v>
      </c>
      <c r="D82" s="173"/>
      <c r="E82" s="174">
        <f t="shared" si="12"/>
        <v>157626.06</v>
      </c>
      <c r="F82" s="174">
        <f t="shared" si="8"/>
        <v>18126996.940000042</v>
      </c>
      <c r="G82" s="175">
        <f t="shared" si="6"/>
        <v>97885.78</v>
      </c>
      <c r="H82" s="175"/>
      <c r="I82" s="195">
        <f t="shared" si="7"/>
        <v>255511.84</v>
      </c>
      <c r="J82" s="149"/>
      <c r="K82" s="152">
        <f t="shared" si="11"/>
        <v>56780.408888888887</v>
      </c>
      <c r="L82" s="185"/>
      <c r="M82" s="185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</row>
    <row r="83" spans="1:30" s="176" customFormat="1">
      <c r="A83" s="176">
        <f t="shared" si="14"/>
        <v>32</v>
      </c>
      <c r="B83" s="173">
        <f t="shared" si="3"/>
        <v>45138</v>
      </c>
      <c r="C83" s="173">
        <f t="shared" si="10"/>
        <v>45169</v>
      </c>
      <c r="D83" s="173"/>
      <c r="E83" s="174">
        <f t="shared" si="12"/>
        <v>157626.06</v>
      </c>
      <c r="F83" s="174">
        <f t="shared" si="8"/>
        <v>17969370.880000044</v>
      </c>
      <c r="G83" s="175">
        <f t="shared" si="6"/>
        <v>100269.09</v>
      </c>
      <c r="H83" s="175"/>
      <c r="I83" s="195">
        <f t="shared" si="7"/>
        <v>257895.15</v>
      </c>
      <c r="J83" s="149"/>
      <c r="K83" s="152">
        <f t="shared" si="11"/>
        <v>57310.033333333333</v>
      </c>
      <c r="L83" s="185"/>
      <c r="M83" s="185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</row>
    <row r="84" spans="1:30" s="176" customFormat="1">
      <c r="A84" s="176">
        <f t="shared" si="14"/>
        <v>33</v>
      </c>
      <c r="B84" s="173">
        <f t="shared" ref="B84:B147" si="15">EOMONTH(B83,1)</f>
        <v>45169</v>
      </c>
      <c r="C84" s="173">
        <f t="shared" si="10"/>
        <v>45199</v>
      </c>
      <c r="D84" s="173"/>
      <c r="E84" s="174">
        <f t="shared" si="12"/>
        <v>157626.06</v>
      </c>
      <c r="F84" s="174">
        <f t="shared" si="8"/>
        <v>17811744.820000045</v>
      </c>
      <c r="G84" s="175">
        <f t="shared" si="6"/>
        <v>99389.54</v>
      </c>
      <c r="H84" s="175"/>
      <c r="I84" s="195">
        <f t="shared" si="7"/>
        <v>257015.59999999998</v>
      </c>
      <c r="J84" s="149"/>
      <c r="K84" s="152">
        <f t="shared" si="11"/>
        <v>57114.577777777769</v>
      </c>
      <c r="L84" s="185"/>
      <c r="M84" s="185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</row>
    <row r="85" spans="1:30" s="176" customFormat="1">
      <c r="A85" s="176">
        <f t="shared" si="14"/>
        <v>34</v>
      </c>
      <c r="B85" s="173">
        <f t="shared" si="15"/>
        <v>45199</v>
      </c>
      <c r="C85" s="173">
        <f t="shared" si="10"/>
        <v>45230</v>
      </c>
      <c r="D85" s="173"/>
      <c r="E85" s="174">
        <f t="shared" si="12"/>
        <v>157626.06</v>
      </c>
      <c r="F85" s="174">
        <f t="shared" si="8"/>
        <v>17654118.760000046</v>
      </c>
      <c r="G85" s="175">
        <f t="shared" ref="G85:G148" si="16">ROUND((B85-B84)*$E$8*F85/360,2)</f>
        <v>95332.24</v>
      </c>
      <c r="H85" s="175"/>
      <c r="I85" s="195">
        <f t="shared" ref="I85:I148" si="17">E85+G85</f>
        <v>252958.3</v>
      </c>
      <c r="J85" s="149"/>
      <c r="K85" s="152">
        <f t="shared" si="11"/>
        <v>56212.955555555556</v>
      </c>
      <c r="L85" s="185"/>
      <c r="M85" s="185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</row>
    <row r="86" spans="1:30" s="176" customFormat="1">
      <c r="A86" s="176">
        <f t="shared" si="14"/>
        <v>35</v>
      </c>
      <c r="B86" s="173">
        <f t="shared" si="15"/>
        <v>45230</v>
      </c>
      <c r="C86" s="173">
        <f t="shared" si="10"/>
        <v>45260</v>
      </c>
      <c r="D86" s="173"/>
      <c r="E86" s="174">
        <f t="shared" si="12"/>
        <v>157626.06</v>
      </c>
      <c r="F86" s="174">
        <f t="shared" si="8"/>
        <v>17496492.700000048</v>
      </c>
      <c r="G86" s="175">
        <f t="shared" si="16"/>
        <v>97630.43</v>
      </c>
      <c r="H86" s="175"/>
      <c r="I86" s="195">
        <f t="shared" si="17"/>
        <v>255256.49</v>
      </c>
      <c r="J86" s="149"/>
      <c r="K86" s="152">
        <f t="shared" si="11"/>
        <v>56723.664444444439</v>
      </c>
      <c r="L86" s="185"/>
      <c r="M86" s="185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</row>
    <row r="87" spans="1:30" s="176" customFormat="1">
      <c r="A87" s="176">
        <f t="shared" si="14"/>
        <v>36</v>
      </c>
      <c r="B87" s="173">
        <f t="shared" si="15"/>
        <v>45260</v>
      </c>
      <c r="C87" s="173">
        <f t="shared" si="10"/>
        <v>45291</v>
      </c>
      <c r="D87" s="173"/>
      <c r="E87" s="174">
        <f t="shared" si="12"/>
        <v>157626.06</v>
      </c>
      <c r="F87" s="174">
        <f t="shared" si="8"/>
        <v>17338866.640000049</v>
      </c>
      <c r="G87" s="175">
        <f t="shared" si="16"/>
        <v>93629.88</v>
      </c>
      <c r="H87" s="175"/>
      <c r="I87" s="195">
        <f t="shared" si="17"/>
        <v>251255.94</v>
      </c>
      <c r="J87" s="149"/>
      <c r="K87" s="152">
        <f t="shared" si="11"/>
        <v>55834.653333333335</v>
      </c>
      <c r="L87" s="185"/>
      <c r="M87" s="185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</row>
    <row r="88" spans="1:30" s="171" customFormat="1">
      <c r="A88" s="171">
        <f t="shared" si="14"/>
        <v>37</v>
      </c>
      <c r="B88" s="168">
        <f t="shared" si="15"/>
        <v>45291</v>
      </c>
      <c r="C88" s="168">
        <f t="shared" si="10"/>
        <v>45322</v>
      </c>
      <c r="D88" s="168"/>
      <c r="E88" s="169">
        <f t="shared" si="12"/>
        <v>157626.06</v>
      </c>
      <c r="F88" s="169">
        <f t="shared" ref="F88:F151" si="18">F87-E87+D87</f>
        <v>17181240.58000005</v>
      </c>
      <c r="G88" s="170">
        <f t="shared" si="16"/>
        <v>95871.32</v>
      </c>
      <c r="H88" s="170"/>
      <c r="I88" s="194">
        <f t="shared" si="17"/>
        <v>253497.38</v>
      </c>
      <c r="K88" s="172">
        <f t="shared" si="11"/>
        <v>56332.751111111109</v>
      </c>
      <c r="L88" s="172">
        <f>SUM(E77:E88)</f>
        <v>1891512.7200000004</v>
      </c>
      <c r="M88" s="172">
        <f>SUM(G77:G88)</f>
        <v>1185496.1399999999</v>
      </c>
    </row>
    <row r="89" spans="1:30" s="176" customFormat="1">
      <c r="A89" s="176">
        <f t="shared" si="14"/>
        <v>38</v>
      </c>
      <c r="B89" s="173">
        <f t="shared" si="15"/>
        <v>45322</v>
      </c>
      <c r="C89" s="173">
        <f t="shared" si="10"/>
        <v>45351</v>
      </c>
      <c r="D89" s="173"/>
      <c r="E89" s="174">
        <f t="shared" si="12"/>
        <v>157626.06</v>
      </c>
      <c r="F89" s="174">
        <f t="shared" si="18"/>
        <v>17023614.520000052</v>
      </c>
      <c r="G89" s="175">
        <f t="shared" si="16"/>
        <v>94991.77</v>
      </c>
      <c r="H89" s="175"/>
      <c r="I89" s="195">
        <f t="shared" si="17"/>
        <v>252617.83000000002</v>
      </c>
      <c r="J89" s="149"/>
      <c r="K89" s="152">
        <f t="shared" si="11"/>
        <v>56137.29555555556</v>
      </c>
      <c r="L89" s="185"/>
      <c r="M89" s="185"/>
      <c r="N89" s="152"/>
      <c r="O89" s="152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</row>
    <row r="90" spans="1:30" s="176" customFormat="1">
      <c r="A90" s="176">
        <f t="shared" si="14"/>
        <v>39</v>
      </c>
      <c r="B90" s="173">
        <f t="shared" si="15"/>
        <v>45351</v>
      </c>
      <c r="C90" s="173">
        <f t="shared" si="10"/>
        <v>45382</v>
      </c>
      <c r="D90" s="173"/>
      <c r="E90" s="174">
        <f t="shared" si="12"/>
        <v>157626.06</v>
      </c>
      <c r="F90" s="174">
        <f t="shared" si="18"/>
        <v>16865988.460000053</v>
      </c>
      <c r="G90" s="175">
        <f t="shared" si="16"/>
        <v>88040.46</v>
      </c>
      <c r="H90" s="175"/>
      <c r="I90" s="195">
        <f t="shared" si="17"/>
        <v>245666.52000000002</v>
      </c>
      <c r="J90" s="149"/>
      <c r="K90" s="152">
        <f t="shared" si="11"/>
        <v>54592.560000000005</v>
      </c>
      <c r="L90" s="185"/>
      <c r="M90" s="185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</row>
    <row r="91" spans="1:30" s="176" customFormat="1">
      <c r="A91" s="176">
        <f t="shared" si="14"/>
        <v>40</v>
      </c>
      <c r="B91" s="173">
        <f t="shared" si="15"/>
        <v>45382</v>
      </c>
      <c r="C91" s="173">
        <f t="shared" si="10"/>
        <v>45412</v>
      </c>
      <c r="D91" s="173"/>
      <c r="E91" s="174">
        <f t="shared" si="12"/>
        <v>157626.06</v>
      </c>
      <c r="F91" s="174">
        <f t="shared" si="18"/>
        <v>16708362.400000053</v>
      </c>
      <c r="G91" s="175">
        <f t="shared" si="16"/>
        <v>93232.66</v>
      </c>
      <c r="H91" s="175"/>
      <c r="I91" s="195">
        <f t="shared" si="17"/>
        <v>250858.72</v>
      </c>
      <c r="J91" s="149"/>
      <c r="K91" s="152">
        <f t="shared" si="11"/>
        <v>55746.382222222222</v>
      </c>
      <c r="L91" s="185"/>
      <c r="M91" s="185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</row>
    <row r="92" spans="1:30" s="176" customFormat="1">
      <c r="A92" s="176">
        <f t="shared" si="14"/>
        <v>41</v>
      </c>
      <c r="B92" s="173">
        <f t="shared" si="15"/>
        <v>45412</v>
      </c>
      <c r="C92" s="173">
        <f t="shared" si="10"/>
        <v>45443</v>
      </c>
      <c r="D92" s="173"/>
      <c r="E92" s="174">
        <f t="shared" si="12"/>
        <v>157626.06</v>
      </c>
      <c r="F92" s="174">
        <f t="shared" si="18"/>
        <v>16550736.340000052</v>
      </c>
      <c r="G92" s="175">
        <f t="shared" si="16"/>
        <v>89373.98</v>
      </c>
      <c r="H92" s="175"/>
      <c r="I92" s="195">
        <f t="shared" si="17"/>
        <v>247000.03999999998</v>
      </c>
      <c r="J92" s="149"/>
      <c r="K92" s="152">
        <f t="shared" si="11"/>
        <v>54888.897777777776</v>
      </c>
      <c r="L92" s="185"/>
      <c r="M92" s="185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</row>
    <row r="93" spans="1:30" s="176" customFormat="1">
      <c r="A93" s="176">
        <f t="shared" si="14"/>
        <v>42</v>
      </c>
      <c r="B93" s="173">
        <f t="shared" si="15"/>
        <v>45443</v>
      </c>
      <c r="C93" s="173">
        <f t="shared" si="10"/>
        <v>45473</v>
      </c>
      <c r="D93" s="173"/>
      <c r="E93" s="174">
        <f t="shared" si="12"/>
        <v>157626.06</v>
      </c>
      <c r="F93" s="174">
        <f t="shared" si="18"/>
        <v>16393110.280000051</v>
      </c>
      <c r="G93" s="175">
        <f t="shared" si="16"/>
        <v>91473.56</v>
      </c>
      <c r="H93" s="175"/>
      <c r="I93" s="195">
        <f t="shared" si="17"/>
        <v>249099.62</v>
      </c>
      <c r="J93" s="149"/>
      <c r="K93" s="152">
        <f t="shared" si="11"/>
        <v>55355.47111111111</v>
      </c>
      <c r="L93" s="185"/>
      <c r="M93" s="185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</row>
    <row r="94" spans="1:30" s="176" customFormat="1">
      <c r="A94" s="176">
        <f t="shared" si="14"/>
        <v>43</v>
      </c>
      <c r="B94" s="173">
        <f t="shared" si="15"/>
        <v>45473</v>
      </c>
      <c r="C94" s="173">
        <f t="shared" si="10"/>
        <v>45504</v>
      </c>
      <c r="D94" s="173"/>
      <c r="E94" s="174">
        <f t="shared" si="12"/>
        <v>157626.06</v>
      </c>
      <c r="F94" s="174">
        <f t="shared" si="18"/>
        <v>16235484.220000051</v>
      </c>
      <c r="G94" s="175">
        <f t="shared" si="16"/>
        <v>87671.61</v>
      </c>
      <c r="H94" s="175"/>
      <c r="I94" s="195">
        <f t="shared" si="17"/>
        <v>245297.66999999998</v>
      </c>
      <c r="J94" s="149"/>
      <c r="K94" s="152">
        <f t="shared" si="11"/>
        <v>54510.593333333331</v>
      </c>
      <c r="L94" s="185"/>
      <c r="M94" s="185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</row>
    <row r="95" spans="1:30" s="176" customFormat="1">
      <c r="A95" s="176">
        <f t="shared" si="14"/>
        <v>44</v>
      </c>
      <c r="B95" s="173">
        <f t="shared" si="15"/>
        <v>45504</v>
      </c>
      <c r="C95" s="173">
        <f t="shared" si="10"/>
        <v>45535</v>
      </c>
      <c r="D95" s="173"/>
      <c r="E95" s="174">
        <f t="shared" si="12"/>
        <v>157626.06</v>
      </c>
      <c r="F95" s="174">
        <f t="shared" si="18"/>
        <v>16077858.16000005</v>
      </c>
      <c r="G95" s="175">
        <f t="shared" si="16"/>
        <v>89714.45</v>
      </c>
      <c r="H95" s="175"/>
      <c r="I95" s="195">
        <f t="shared" si="17"/>
        <v>247340.51</v>
      </c>
      <c r="J95" s="149"/>
      <c r="K95" s="152">
        <f t="shared" si="11"/>
        <v>54964.55777777778</v>
      </c>
      <c r="L95" s="185"/>
      <c r="M95" s="185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</row>
    <row r="96" spans="1:30" s="176" customFormat="1">
      <c r="A96" s="176">
        <f t="shared" si="14"/>
        <v>45</v>
      </c>
      <c r="B96" s="173">
        <f t="shared" si="15"/>
        <v>45535</v>
      </c>
      <c r="C96" s="173">
        <f t="shared" ref="C96:C159" si="19">B97</f>
        <v>45565</v>
      </c>
      <c r="D96" s="173"/>
      <c r="E96" s="174">
        <f t="shared" si="12"/>
        <v>157626.06</v>
      </c>
      <c r="F96" s="174">
        <f t="shared" si="18"/>
        <v>15920232.10000005</v>
      </c>
      <c r="G96" s="175">
        <f t="shared" si="16"/>
        <v>88834.9</v>
      </c>
      <c r="H96" s="175"/>
      <c r="I96" s="195">
        <f t="shared" si="17"/>
        <v>246460.96</v>
      </c>
      <c r="J96" s="149"/>
      <c r="K96" s="152">
        <f t="shared" ref="K96:K159" si="20">I96/4.5</f>
        <v>54769.102222222224</v>
      </c>
      <c r="L96" s="185"/>
      <c r="M96" s="185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</row>
    <row r="97" spans="1:30" s="176" customFormat="1">
      <c r="A97" s="176">
        <f t="shared" si="14"/>
        <v>46</v>
      </c>
      <c r="B97" s="173">
        <f t="shared" si="15"/>
        <v>45565</v>
      </c>
      <c r="C97" s="173">
        <f t="shared" si="19"/>
        <v>45596</v>
      </c>
      <c r="D97" s="173"/>
      <c r="E97" s="174">
        <f t="shared" si="12"/>
        <v>157626.06</v>
      </c>
      <c r="F97" s="174">
        <f t="shared" si="18"/>
        <v>15762606.040000049</v>
      </c>
      <c r="G97" s="175">
        <f t="shared" si="16"/>
        <v>85118.07</v>
      </c>
      <c r="H97" s="175"/>
      <c r="I97" s="195">
        <f t="shared" si="17"/>
        <v>242744.13</v>
      </c>
      <c r="J97" s="149"/>
      <c r="K97" s="152">
        <f t="shared" si="20"/>
        <v>53943.14</v>
      </c>
      <c r="L97" s="185"/>
      <c r="M97" s="185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</row>
    <row r="98" spans="1:30" s="176" customFormat="1">
      <c r="A98" s="176">
        <f t="shared" si="14"/>
        <v>47</v>
      </c>
      <c r="B98" s="173">
        <f t="shared" si="15"/>
        <v>45596</v>
      </c>
      <c r="C98" s="173">
        <f t="shared" si="19"/>
        <v>45626</v>
      </c>
      <c r="D98" s="173"/>
      <c r="E98" s="174">
        <f t="shared" si="12"/>
        <v>157626.06</v>
      </c>
      <c r="F98" s="174">
        <f t="shared" si="18"/>
        <v>15604979.980000049</v>
      </c>
      <c r="G98" s="175">
        <f t="shared" si="16"/>
        <v>87075.79</v>
      </c>
      <c r="H98" s="175"/>
      <c r="I98" s="195">
        <f t="shared" si="17"/>
        <v>244701.84999999998</v>
      </c>
      <c r="J98" s="149"/>
      <c r="K98" s="152">
        <f t="shared" si="20"/>
        <v>54378.188888888886</v>
      </c>
      <c r="L98" s="185"/>
      <c r="M98" s="185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</row>
    <row r="99" spans="1:30" s="176" customFormat="1">
      <c r="A99" s="176">
        <f t="shared" si="14"/>
        <v>48</v>
      </c>
      <c r="B99" s="173">
        <f t="shared" si="15"/>
        <v>45626</v>
      </c>
      <c r="C99" s="173">
        <f t="shared" si="19"/>
        <v>45657</v>
      </c>
      <c r="D99" s="173"/>
      <c r="E99" s="174">
        <f t="shared" si="12"/>
        <v>157626.06</v>
      </c>
      <c r="F99" s="174">
        <f t="shared" si="18"/>
        <v>15447353.920000048</v>
      </c>
      <c r="G99" s="175">
        <f t="shared" si="16"/>
        <v>83415.710000000006</v>
      </c>
      <c r="H99" s="175"/>
      <c r="I99" s="195">
        <f t="shared" si="17"/>
        <v>241041.77000000002</v>
      </c>
      <c r="J99" s="149"/>
      <c r="K99" s="152">
        <f t="shared" si="20"/>
        <v>53564.837777777779</v>
      </c>
      <c r="L99" s="185"/>
      <c r="M99" s="185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</row>
    <row r="100" spans="1:30" s="171" customFormat="1">
      <c r="A100" s="171">
        <f t="shared" si="14"/>
        <v>49</v>
      </c>
      <c r="B100" s="168">
        <f t="shared" si="15"/>
        <v>45657</v>
      </c>
      <c r="C100" s="168">
        <f t="shared" si="19"/>
        <v>45688</v>
      </c>
      <c r="D100" s="168"/>
      <c r="E100" s="169">
        <f t="shared" si="12"/>
        <v>157626.06</v>
      </c>
      <c r="F100" s="169">
        <f t="shared" si="18"/>
        <v>15289727.860000048</v>
      </c>
      <c r="G100" s="170">
        <f t="shared" si="16"/>
        <v>85316.68</v>
      </c>
      <c r="H100" s="170"/>
      <c r="I100" s="194">
        <f t="shared" si="17"/>
        <v>242942.74</v>
      </c>
      <c r="K100" s="172">
        <f t="shared" si="20"/>
        <v>53987.275555555556</v>
      </c>
      <c r="L100" s="172">
        <f>SUM(E89:E100)</f>
        <v>1891512.7200000004</v>
      </c>
      <c r="M100" s="172">
        <f>SUM(G89:G100)</f>
        <v>1064259.6399999999</v>
      </c>
    </row>
    <row r="101" spans="1:30" s="176" customFormat="1">
      <c r="A101" s="176">
        <f t="shared" si="14"/>
        <v>50</v>
      </c>
      <c r="B101" s="173">
        <f t="shared" si="15"/>
        <v>45688</v>
      </c>
      <c r="C101" s="173">
        <f t="shared" si="19"/>
        <v>45716</v>
      </c>
      <c r="D101" s="173"/>
      <c r="E101" s="174">
        <f t="shared" si="12"/>
        <v>157626.06</v>
      </c>
      <c r="F101" s="174">
        <f t="shared" si="18"/>
        <v>15132101.800000047</v>
      </c>
      <c r="G101" s="175">
        <f t="shared" si="16"/>
        <v>84437.13</v>
      </c>
      <c r="H101" s="175"/>
      <c r="I101" s="195">
        <f t="shared" si="17"/>
        <v>242063.19</v>
      </c>
      <c r="J101" s="149"/>
      <c r="K101" s="152">
        <f t="shared" si="20"/>
        <v>53791.82</v>
      </c>
      <c r="L101" s="185"/>
      <c r="M101" s="185"/>
      <c r="N101" s="152"/>
      <c r="O101" s="152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</row>
    <row r="102" spans="1:30" s="176" customFormat="1">
      <c r="A102" s="176">
        <f t="shared" si="14"/>
        <v>51</v>
      </c>
      <c r="B102" s="173">
        <f t="shared" si="15"/>
        <v>45716</v>
      </c>
      <c r="C102" s="173">
        <f t="shared" si="19"/>
        <v>45747</v>
      </c>
      <c r="D102" s="173"/>
      <c r="E102" s="174">
        <f t="shared" ref="E102:E165" si="21">E101</f>
        <v>157626.06</v>
      </c>
      <c r="F102" s="174">
        <f t="shared" si="18"/>
        <v>14974475.740000047</v>
      </c>
      <c r="G102" s="175">
        <f t="shared" si="16"/>
        <v>75471.360000000001</v>
      </c>
      <c r="H102" s="175"/>
      <c r="I102" s="195">
        <f t="shared" si="17"/>
        <v>233097.41999999998</v>
      </c>
      <c r="J102" s="149"/>
      <c r="K102" s="152">
        <f t="shared" si="20"/>
        <v>51799.426666666666</v>
      </c>
      <c r="L102" s="185"/>
      <c r="M102" s="185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</row>
    <row r="103" spans="1:30" s="176" customFormat="1">
      <c r="A103" s="176">
        <f t="shared" si="14"/>
        <v>52</v>
      </c>
      <c r="B103" s="173">
        <f t="shared" si="15"/>
        <v>45747</v>
      </c>
      <c r="C103" s="173">
        <f t="shared" si="19"/>
        <v>45777</v>
      </c>
      <c r="D103" s="173"/>
      <c r="E103" s="174">
        <f t="shared" si="21"/>
        <v>157626.06</v>
      </c>
      <c r="F103" s="174">
        <f t="shared" si="18"/>
        <v>14816849.680000046</v>
      </c>
      <c r="G103" s="175">
        <f t="shared" si="16"/>
        <v>82678.02</v>
      </c>
      <c r="H103" s="175"/>
      <c r="I103" s="195">
        <f t="shared" si="17"/>
        <v>240304.08000000002</v>
      </c>
      <c r="J103" s="149"/>
      <c r="K103" s="152">
        <f t="shared" si="20"/>
        <v>53400.906666666669</v>
      </c>
      <c r="L103" s="185"/>
      <c r="M103" s="185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</row>
    <row r="104" spans="1:30" s="176" customFormat="1">
      <c r="A104" s="176">
        <f t="shared" si="14"/>
        <v>53</v>
      </c>
      <c r="B104" s="173">
        <f t="shared" si="15"/>
        <v>45777</v>
      </c>
      <c r="C104" s="173">
        <f t="shared" si="19"/>
        <v>45808</v>
      </c>
      <c r="D104" s="173"/>
      <c r="E104" s="174">
        <f t="shared" si="21"/>
        <v>157626.06</v>
      </c>
      <c r="F104" s="174">
        <f t="shared" si="18"/>
        <v>14659223.620000046</v>
      </c>
      <c r="G104" s="175">
        <f t="shared" si="16"/>
        <v>79159.81</v>
      </c>
      <c r="H104" s="175"/>
      <c r="I104" s="195">
        <f t="shared" si="17"/>
        <v>236785.87</v>
      </c>
      <c r="J104" s="149"/>
      <c r="K104" s="152">
        <f t="shared" si="20"/>
        <v>52619.08222222222</v>
      </c>
      <c r="L104" s="185"/>
      <c r="M104" s="185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</row>
    <row r="105" spans="1:30" s="176" customFormat="1">
      <c r="A105" s="176">
        <f t="shared" si="14"/>
        <v>54</v>
      </c>
      <c r="B105" s="173">
        <f t="shared" si="15"/>
        <v>45808</v>
      </c>
      <c r="C105" s="173">
        <f t="shared" si="19"/>
        <v>45838</v>
      </c>
      <c r="D105" s="173"/>
      <c r="E105" s="174">
        <f t="shared" si="21"/>
        <v>157626.06</v>
      </c>
      <c r="F105" s="174">
        <f t="shared" si="18"/>
        <v>14501597.560000045</v>
      </c>
      <c r="G105" s="175">
        <f t="shared" si="16"/>
        <v>80918.91</v>
      </c>
      <c r="H105" s="175"/>
      <c r="I105" s="195">
        <f t="shared" si="17"/>
        <v>238544.97</v>
      </c>
      <c r="J105" s="149"/>
      <c r="K105" s="152">
        <f t="shared" si="20"/>
        <v>53009.993333333332</v>
      </c>
      <c r="L105" s="185"/>
      <c r="M105" s="185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</row>
    <row r="106" spans="1:30" s="176" customFormat="1">
      <c r="A106" s="176">
        <f t="shared" si="14"/>
        <v>55</v>
      </c>
      <c r="B106" s="173">
        <f t="shared" si="15"/>
        <v>45838</v>
      </c>
      <c r="C106" s="173">
        <f t="shared" si="19"/>
        <v>45869</v>
      </c>
      <c r="D106" s="173"/>
      <c r="E106" s="174">
        <f t="shared" si="21"/>
        <v>157626.06</v>
      </c>
      <c r="F106" s="174">
        <f t="shared" si="18"/>
        <v>14343971.500000045</v>
      </c>
      <c r="G106" s="175">
        <f t="shared" si="16"/>
        <v>77457.45</v>
      </c>
      <c r="H106" s="175"/>
      <c r="I106" s="195">
        <f t="shared" si="17"/>
        <v>235083.51</v>
      </c>
      <c r="J106" s="149"/>
      <c r="K106" s="152">
        <f t="shared" si="20"/>
        <v>52240.78</v>
      </c>
      <c r="L106" s="185"/>
      <c r="M106" s="185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</row>
    <row r="107" spans="1:30" s="176" customFormat="1">
      <c r="A107" s="176">
        <f t="shared" si="14"/>
        <v>56</v>
      </c>
      <c r="B107" s="173">
        <f t="shared" si="15"/>
        <v>45869</v>
      </c>
      <c r="C107" s="173">
        <f t="shared" si="19"/>
        <v>45900</v>
      </c>
      <c r="D107" s="173"/>
      <c r="E107" s="174">
        <f t="shared" si="21"/>
        <v>157626.06</v>
      </c>
      <c r="F107" s="174">
        <f t="shared" si="18"/>
        <v>14186345.440000044</v>
      </c>
      <c r="G107" s="175">
        <f t="shared" si="16"/>
        <v>79159.81</v>
      </c>
      <c r="H107" s="175"/>
      <c r="I107" s="195">
        <f t="shared" si="17"/>
        <v>236785.87</v>
      </c>
      <c r="J107" s="149"/>
      <c r="K107" s="152">
        <f t="shared" si="20"/>
        <v>52619.08222222222</v>
      </c>
      <c r="L107" s="185"/>
      <c r="M107" s="185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</row>
    <row r="108" spans="1:30" s="176" customFormat="1">
      <c r="A108" s="176">
        <f t="shared" si="14"/>
        <v>57</v>
      </c>
      <c r="B108" s="173">
        <f t="shared" si="15"/>
        <v>45900</v>
      </c>
      <c r="C108" s="173">
        <f t="shared" si="19"/>
        <v>45930</v>
      </c>
      <c r="D108" s="173"/>
      <c r="E108" s="174">
        <f t="shared" si="21"/>
        <v>157626.06</v>
      </c>
      <c r="F108" s="174">
        <f t="shared" si="18"/>
        <v>14028719.380000044</v>
      </c>
      <c r="G108" s="175">
        <f t="shared" si="16"/>
        <v>78280.25</v>
      </c>
      <c r="H108" s="175"/>
      <c r="I108" s="195">
        <f t="shared" si="17"/>
        <v>235906.31</v>
      </c>
      <c r="J108" s="149"/>
      <c r="K108" s="152">
        <f t="shared" si="20"/>
        <v>52423.624444444446</v>
      </c>
      <c r="L108" s="185"/>
      <c r="M108" s="185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</row>
    <row r="109" spans="1:30" s="176" customFormat="1">
      <c r="A109" s="176">
        <f t="shared" si="14"/>
        <v>58</v>
      </c>
      <c r="B109" s="173">
        <f t="shared" si="15"/>
        <v>45930</v>
      </c>
      <c r="C109" s="173">
        <f t="shared" si="19"/>
        <v>45961</v>
      </c>
      <c r="D109" s="173"/>
      <c r="E109" s="174">
        <f t="shared" si="21"/>
        <v>157626.06</v>
      </c>
      <c r="F109" s="174">
        <f t="shared" si="18"/>
        <v>13871093.320000043</v>
      </c>
      <c r="G109" s="175">
        <f t="shared" si="16"/>
        <v>74903.899999999994</v>
      </c>
      <c r="H109" s="175"/>
      <c r="I109" s="195">
        <f t="shared" si="17"/>
        <v>232529.96</v>
      </c>
      <c r="J109" s="149"/>
      <c r="K109" s="152">
        <f t="shared" si="20"/>
        <v>51673.324444444443</v>
      </c>
      <c r="L109" s="185"/>
      <c r="M109" s="185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</row>
    <row r="110" spans="1:30" s="176" customFormat="1">
      <c r="A110" s="176">
        <f t="shared" si="14"/>
        <v>59</v>
      </c>
      <c r="B110" s="173">
        <f t="shared" si="15"/>
        <v>45961</v>
      </c>
      <c r="C110" s="173">
        <f t="shared" si="19"/>
        <v>45991</v>
      </c>
      <c r="D110" s="173"/>
      <c r="E110" s="174">
        <f t="shared" si="21"/>
        <v>157626.06</v>
      </c>
      <c r="F110" s="174">
        <f t="shared" si="18"/>
        <v>13713467.260000043</v>
      </c>
      <c r="G110" s="175">
        <f t="shared" si="16"/>
        <v>76521.149999999994</v>
      </c>
      <c r="H110" s="175"/>
      <c r="I110" s="195">
        <f t="shared" si="17"/>
        <v>234147.21</v>
      </c>
      <c r="J110" s="149"/>
      <c r="K110" s="152">
        <f t="shared" si="20"/>
        <v>52032.713333333333</v>
      </c>
      <c r="L110" s="185"/>
      <c r="M110" s="185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</row>
    <row r="111" spans="1:30" s="176" customFormat="1">
      <c r="A111" s="176">
        <f t="shared" si="14"/>
        <v>60</v>
      </c>
      <c r="B111" s="173">
        <f t="shared" si="15"/>
        <v>45991</v>
      </c>
      <c r="C111" s="173">
        <f t="shared" si="19"/>
        <v>46022</v>
      </c>
      <c r="D111" s="173"/>
      <c r="E111" s="174">
        <f t="shared" si="21"/>
        <v>157626.06</v>
      </c>
      <c r="F111" s="174">
        <f t="shared" si="18"/>
        <v>13555841.200000042</v>
      </c>
      <c r="G111" s="175">
        <f t="shared" si="16"/>
        <v>73201.539999999994</v>
      </c>
      <c r="H111" s="175"/>
      <c r="I111" s="195">
        <f t="shared" si="17"/>
        <v>230827.59999999998</v>
      </c>
      <c r="J111" s="149"/>
      <c r="K111" s="152">
        <f t="shared" si="20"/>
        <v>51295.022222222215</v>
      </c>
      <c r="L111" s="185"/>
      <c r="M111" s="185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</row>
    <row r="112" spans="1:30" s="171" customFormat="1">
      <c r="A112" s="171">
        <f t="shared" si="14"/>
        <v>61</v>
      </c>
      <c r="B112" s="168">
        <f t="shared" si="15"/>
        <v>46022</v>
      </c>
      <c r="C112" s="168">
        <f t="shared" si="19"/>
        <v>46053</v>
      </c>
      <c r="D112" s="168"/>
      <c r="E112" s="169">
        <f t="shared" si="21"/>
        <v>157626.06</v>
      </c>
      <c r="F112" s="169">
        <f t="shared" si="18"/>
        <v>13398215.140000042</v>
      </c>
      <c r="G112" s="170">
        <f t="shared" si="16"/>
        <v>74762.039999999994</v>
      </c>
      <c r="H112" s="170"/>
      <c r="I112" s="194">
        <f t="shared" si="17"/>
        <v>232388.09999999998</v>
      </c>
      <c r="K112" s="172">
        <f t="shared" si="20"/>
        <v>51641.799999999996</v>
      </c>
      <c r="L112" s="172">
        <f>SUM(E101:E112)</f>
        <v>1891512.7200000004</v>
      </c>
      <c r="M112" s="172">
        <f>SUM(G101:G112)</f>
        <v>936951.37000000011</v>
      </c>
    </row>
    <row r="113" spans="1:30" s="176" customFormat="1">
      <c r="A113" s="176">
        <f t="shared" si="14"/>
        <v>62</v>
      </c>
      <c r="B113" s="173">
        <f t="shared" si="15"/>
        <v>46053</v>
      </c>
      <c r="C113" s="173">
        <f t="shared" si="19"/>
        <v>46081</v>
      </c>
      <c r="D113" s="173"/>
      <c r="E113" s="174">
        <f t="shared" si="21"/>
        <v>157626.06</v>
      </c>
      <c r="F113" s="174">
        <f t="shared" si="18"/>
        <v>13240589.080000041</v>
      </c>
      <c r="G113" s="175">
        <f t="shared" si="16"/>
        <v>73882.490000000005</v>
      </c>
      <c r="H113" s="175"/>
      <c r="I113" s="195">
        <f t="shared" si="17"/>
        <v>231508.55</v>
      </c>
      <c r="J113" s="149"/>
      <c r="K113" s="152">
        <f t="shared" si="20"/>
        <v>51446.344444444439</v>
      </c>
      <c r="L113" s="185"/>
      <c r="M113" s="185"/>
      <c r="N113" s="152"/>
      <c r="O113" s="152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</row>
    <row r="114" spans="1:30" s="176" customFormat="1">
      <c r="A114" s="176">
        <f t="shared" si="14"/>
        <v>63</v>
      </c>
      <c r="B114" s="173">
        <f t="shared" si="15"/>
        <v>46081</v>
      </c>
      <c r="C114" s="173">
        <f t="shared" si="19"/>
        <v>46112</v>
      </c>
      <c r="D114" s="173"/>
      <c r="E114" s="174">
        <f t="shared" si="21"/>
        <v>157626.06</v>
      </c>
      <c r="F114" s="174">
        <f t="shared" si="18"/>
        <v>13082963.020000041</v>
      </c>
      <c r="G114" s="175">
        <f t="shared" si="16"/>
        <v>65938.13</v>
      </c>
      <c r="H114" s="175"/>
      <c r="I114" s="195">
        <f t="shared" si="17"/>
        <v>223564.19</v>
      </c>
      <c r="J114" s="149"/>
      <c r="K114" s="152">
        <f t="shared" si="20"/>
        <v>49680.931111111109</v>
      </c>
      <c r="L114" s="185"/>
      <c r="M114" s="185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</row>
    <row r="115" spans="1:30" s="176" customFormat="1">
      <c r="A115" s="176">
        <f t="shared" si="14"/>
        <v>64</v>
      </c>
      <c r="B115" s="173">
        <f t="shared" si="15"/>
        <v>46112</v>
      </c>
      <c r="C115" s="173">
        <f t="shared" si="19"/>
        <v>46142</v>
      </c>
      <c r="D115" s="173"/>
      <c r="E115" s="174">
        <f t="shared" si="21"/>
        <v>157626.06</v>
      </c>
      <c r="F115" s="174">
        <f t="shared" si="18"/>
        <v>12925336.96000004</v>
      </c>
      <c r="G115" s="175">
        <f t="shared" si="16"/>
        <v>72123.38</v>
      </c>
      <c r="H115" s="175"/>
      <c r="I115" s="195">
        <f t="shared" si="17"/>
        <v>229749.44</v>
      </c>
      <c r="J115" s="149"/>
      <c r="K115" s="152">
        <f t="shared" si="20"/>
        <v>51055.431111111109</v>
      </c>
      <c r="L115" s="185"/>
      <c r="M115" s="185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</row>
    <row r="116" spans="1:30" s="176" customFormat="1">
      <c r="A116" s="176">
        <f t="shared" si="14"/>
        <v>65</v>
      </c>
      <c r="B116" s="173">
        <f t="shared" si="15"/>
        <v>46142</v>
      </c>
      <c r="C116" s="173">
        <f t="shared" si="19"/>
        <v>46173</v>
      </c>
      <c r="D116" s="173"/>
      <c r="E116" s="174">
        <f t="shared" si="21"/>
        <v>157626.06</v>
      </c>
      <c r="F116" s="174">
        <f t="shared" si="18"/>
        <v>12767710.900000039</v>
      </c>
      <c r="G116" s="175">
        <f t="shared" si="16"/>
        <v>68945.64</v>
      </c>
      <c r="H116" s="175"/>
      <c r="I116" s="195">
        <f t="shared" si="17"/>
        <v>226571.7</v>
      </c>
      <c r="J116" s="149"/>
      <c r="K116" s="152">
        <f t="shared" si="20"/>
        <v>50349.26666666667</v>
      </c>
      <c r="L116" s="185"/>
      <c r="M116" s="185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</row>
    <row r="117" spans="1:30" s="176" customFormat="1">
      <c r="A117" s="176">
        <f t="shared" si="14"/>
        <v>66</v>
      </c>
      <c r="B117" s="173">
        <f t="shared" si="15"/>
        <v>46173</v>
      </c>
      <c r="C117" s="173">
        <f t="shared" si="19"/>
        <v>46203</v>
      </c>
      <c r="D117" s="173"/>
      <c r="E117" s="174">
        <f t="shared" si="21"/>
        <v>157626.06</v>
      </c>
      <c r="F117" s="174">
        <f t="shared" si="18"/>
        <v>12610084.840000039</v>
      </c>
      <c r="G117" s="175">
        <f t="shared" si="16"/>
        <v>70364.27</v>
      </c>
      <c r="H117" s="175"/>
      <c r="I117" s="195">
        <f t="shared" si="17"/>
        <v>227990.33000000002</v>
      </c>
      <c r="J117" s="149"/>
      <c r="K117" s="152">
        <f t="shared" si="20"/>
        <v>50664.517777777779</v>
      </c>
      <c r="L117" s="185"/>
      <c r="M117" s="185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</row>
    <row r="118" spans="1:30" s="176" customFormat="1">
      <c r="A118" s="176">
        <f t="shared" si="14"/>
        <v>67</v>
      </c>
      <c r="B118" s="173">
        <f t="shared" si="15"/>
        <v>46203</v>
      </c>
      <c r="C118" s="173">
        <f t="shared" si="19"/>
        <v>46234</v>
      </c>
      <c r="D118" s="173"/>
      <c r="E118" s="174">
        <f t="shared" si="21"/>
        <v>157626.06</v>
      </c>
      <c r="F118" s="174">
        <f t="shared" si="18"/>
        <v>12452458.780000038</v>
      </c>
      <c r="G118" s="175">
        <f t="shared" si="16"/>
        <v>67243.28</v>
      </c>
      <c r="H118" s="175"/>
      <c r="I118" s="195">
        <f t="shared" si="17"/>
        <v>224869.34</v>
      </c>
      <c r="J118" s="149"/>
      <c r="K118" s="152">
        <f t="shared" si="20"/>
        <v>49970.964444444442</v>
      </c>
      <c r="L118" s="185"/>
      <c r="M118" s="185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</row>
    <row r="119" spans="1:30" s="176" customFormat="1">
      <c r="A119" s="176">
        <f t="shared" ref="A119:A182" si="22">A118+1</f>
        <v>68</v>
      </c>
      <c r="B119" s="173">
        <f t="shared" si="15"/>
        <v>46234</v>
      </c>
      <c r="C119" s="173">
        <f t="shared" si="19"/>
        <v>46265</v>
      </c>
      <c r="D119" s="173"/>
      <c r="E119" s="174">
        <f t="shared" si="21"/>
        <v>157626.06</v>
      </c>
      <c r="F119" s="174">
        <f t="shared" si="18"/>
        <v>12294832.720000038</v>
      </c>
      <c r="G119" s="175">
        <f t="shared" si="16"/>
        <v>68605.17</v>
      </c>
      <c r="H119" s="175"/>
      <c r="I119" s="195">
        <f t="shared" si="17"/>
        <v>226231.22999999998</v>
      </c>
      <c r="J119" s="149"/>
      <c r="K119" s="152">
        <f t="shared" si="20"/>
        <v>50273.606666666659</v>
      </c>
      <c r="L119" s="185"/>
      <c r="M119" s="185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</row>
    <row r="120" spans="1:30" s="176" customFormat="1">
      <c r="A120" s="176">
        <f t="shared" si="22"/>
        <v>69</v>
      </c>
      <c r="B120" s="173">
        <f t="shared" si="15"/>
        <v>46265</v>
      </c>
      <c r="C120" s="173">
        <f t="shared" si="19"/>
        <v>46295</v>
      </c>
      <c r="D120" s="173"/>
      <c r="E120" s="174">
        <f t="shared" si="21"/>
        <v>157626.06</v>
      </c>
      <c r="F120" s="174">
        <f t="shared" si="18"/>
        <v>12137206.660000037</v>
      </c>
      <c r="G120" s="175">
        <f t="shared" si="16"/>
        <v>67725.61</v>
      </c>
      <c r="H120" s="175"/>
      <c r="I120" s="195">
        <f t="shared" si="17"/>
        <v>225351.66999999998</v>
      </c>
      <c r="J120" s="149"/>
      <c r="K120" s="152">
        <f t="shared" si="20"/>
        <v>50078.148888888885</v>
      </c>
      <c r="L120" s="185"/>
      <c r="M120" s="185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</row>
    <row r="121" spans="1:30" s="176" customFormat="1">
      <c r="A121" s="176">
        <f t="shared" si="22"/>
        <v>70</v>
      </c>
      <c r="B121" s="173">
        <f t="shared" si="15"/>
        <v>46295</v>
      </c>
      <c r="C121" s="173">
        <f t="shared" si="19"/>
        <v>46326</v>
      </c>
      <c r="D121" s="173"/>
      <c r="E121" s="174">
        <f t="shared" si="21"/>
        <v>157626.06</v>
      </c>
      <c r="F121" s="174">
        <f t="shared" si="18"/>
        <v>11979580.600000037</v>
      </c>
      <c r="G121" s="175">
        <f t="shared" si="16"/>
        <v>64689.74</v>
      </c>
      <c r="H121" s="175"/>
      <c r="I121" s="195">
        <f t="shared" si="17"/>
        <v>222315.8</v>
      </c>
      <c r="J121" s="149"/>
      <c r="K121" s="152">
        <f t="shared" si="20"/>
        <v>49403.511111111111</v>
      </c>
      <c r="L121" s="185"/>
      <c r="M121" s="185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</row>
    <row r="122" spans="1:30" s="176" customFormat="1">
      <c r="A122" s="176">
        <f t="shared" si="22"/>
        <v>71</v>
      </c>
      <c r="B122" s="173">
        <f t="shared" si="15"/>
        <v>46326</v>
      </c>
      <c r="C122" s="173">
        <f t="shared" si="19"/>
        <v>46356</v>
      </c>
      <c r="D122" s="173"/>
      <c r="E122" s="174">
        <f t="shared" si="21"/>
        <v>157626.06</v>
      </c>
      <c r="F122" s="174">
        <f t="shared" si="18"/>
        <v>11821954.540000036</v>
      </c>
      <c r="G122" s="175">
        <f t="shared" si="16"/>
        <v>65966.509999999995</v>
      </c>
      <c r="H122" s="175"/>
      <c r="I122" s="195">
        <f t="shared" si="17"/>
        <v>223592.57</v>
      </c>
      <c r="J122" s="149"/>
      <c r="K122" s="152">
        <f t="shared" si="20"/>
        <v>49687.23777777778</v>
      </c>
      <c r="L122" s="185"/>
      <c r="M122" s="185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</row>
    <row r="123" spans="1:30" s="176" customFormat="1">
      <c r="A123" s="176">
        <f t="shared" si="22"/>
        <v>72</v>
      </c>
      <c r="B123" s="173">
        <f t="shared" si="15"/>
        <v>46356</v>
      </c>
      <c r="C123" s="173">
        <f t="shared" si="19"/>
        <v>46387</v>
      </c>
      <c r="D123" s="173"/>
      <c r="E123" s="174">
        <f t="shared" si="21"/>
        <v>157626.06</v>
      </c>
      <c r="F123" s="174">
        <f t="shared" si="18"/>
        <v>11664328.480000036</v>
      </c>
      <c r="G123" s="175">
        <f t="shared" si="16"/>
        <v>62987.37</v>
      </c>
      <c r="H123" s="175"/>
      <c r="I123" s="195">
        <f t="shared" si="17"/>
        <v>220613.43</v>
      </c>
      <c r="J123" s="149"/>
      <c r="K123" s="152">
        <f t="shared" si="20"/>
        <v>49025.206666666665</v>
      </c>
      <c r="L123" s="185"/>
      <c r="M123" s="185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</row>
    <row r="124" spans="1:30" s="171" customFormat="1">
      <c r="A124" s="171">
        <f t="shared" si="22"/>
        <v>73</v>
      </c>
      <c r="B124" s="168">
        <f t="shared" si="15"/>
        <v>46387</v>
      </c>
      <c r="C124" s="168">
        <f t="shared" si="19"/>
        <v>46418</v>
      </c>
      <c r="D124" s="168"/>
      <c r="E124" s="169">
        <f t="shared" si="21"/>
        <v>157626.06</v>
      </c>
      <c r="F124" s="169">
        <f t="shared" si="18"/>
        <v>11506702.420000035</v>
      </c>
      <c r="G124" s="170">
        <f t="shared" si="16"/>
        <v>64207.4</v>
      </c>
      <c r="H124" s="170"/>
      <c r="I124" s="194">
        <f t="shared" si="17"/>
        <v>221833.46</v>
      </c>
      <c r="K124" s="172">
        <f t="shared" si="20"/>
        <v>49296.324444444443</v>
      </c>
      <c r="L124" s="172">
        <f>SUM(E113:E124)</f>
        <v>1891512.7200000004</v>
      </c>
      <c r="M124" s="172">
        <f>SUM(G113:G124)</f>
        <v>812678.99000000011</v>
      </c>
    </row>
    <row r="125" spans="1:30" s="176" customFormat="1">
      <c r="A125" s="176">
        <f t="shared" si="22"/>
        <v>74</v>
      </c>
      <c r="B125" s="173">
        <f t="shared" si="15"/>
        <v>46418</v>
      </c>
      <c r="C125" s="173">
        <f t="shared" si="19"/>
        <v>46446</v>
      </c>
      <c r="D125" s="173"/>
      <c r="E125" s="174">
        <f t="shared" si="21"/>
        <v>157626.06</v>
      </c>
      <c r="F125" s="174">
        <f t="shared" si="18"/>
        <v>11349076.360000035</v>
      </c>
      <c r="G125" s="175">
        <f t="shared" si="16"/>
        <v>63327.85</v>
      </c>
      <c r="H125" s="175"/>
      <c r="I125" s="195">
        <f t="shared" si="17"/>
        <v>220953.91</v>
      </c>
      <c r="J125" s="149"/>
      <c r="K125" s="152">
        <f t="shared" si="20"/>
        <v>49100.868888888886</v>
      </c>
      <c r="L125" s="185"/>
      <c r="M125" s="185"/>
      <c r="N125" s="152"/>
      <c r="O125" s="152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</row>
    <row r="126" spans="1:30" s="176" customFormat="1">
      <c r="A126" s="176">
        <f t="shared" si="22"/>
        <v>75</v>
      </c>
      <c r="B126" s="173">
        <f t="shared" si="15"/>
        <v>46446</v>
      </c>
      <c r="C126" s="173">
        <f t="shared" si="19"/>
        <v>46477</v>
      </c>
      <c r="D126" s="173"/>
      <c r="E126" s="174">
        <f t="shared" si="21"/>
        <v>157626.06</v>
      </c>
      <c r="F126" s="174">
        <f t="shared" si="18"/>
        <v>11191450.300000034</v>
      </c>
      <c r="G126" s="175">
        <f t="shared" si="16"/>
        <v>56404.91</v>
      </c>
      <c r="H126" s="175"/>
      <c r="I126" s="195">
        <f t="shared" si="17"/>
        <v>214030.97</v>
      </c>
      <c r="J126" s="149"/>
      <c r="K126" s="152">
        <f t="shared" si="20"/>
        <v>47562.437777777777</v>
      </c>
      <c r="L126" s="185"/>
      <c r="M126" s="185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</row>
    <row r="127" spans="1:30" s="176" customFormat="1">
      <c r="A127" s="176">
        <f t="shared" si="22"/>
        <v>76</v>
      </c>
      <c r="B127" s="173">
        <f t="shared" si="15"/>
        <v>46477</v>
      </c>
      <c r="C127" s="173">
        <f t="shared" si="19"/>
        <v>46507</v>
      </c>
      <c r="D127" s="173"/>
      <c r="E127" s="174">
        <f t="shared" si="21"/>
        <v>157626.06</v>
      </c>
      <c r="F127" s="174">
        <f t="shared" si="18"/>
        <v>11033824.240000034</v>
      </c>
      <c r="G127" s="175">
        <f t="shared" si="16"/>
        <v>61568.74</v>
      </c>
      <c r="H127" s="175"/>
      <c r="I127" s="195">
        <f t="shared" si="17"/>
        <v>219194.8</v>
      </c>
      <c r="J127" s="149"/>
      <c r="K127" s="152">
        <f t="shared" si="20"/>
        <v>48709.955555555556</v>
      </c>
      <c r="L127" s="185"/>
      <c r="M127" s="185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</row>
    <row r="128" spans="1:30" s="176" customFormat="1">
      <c r="A128" s="176">
        <f t="shared" si="22"/>
        <v>77</v>
      </c>
      <c r="B128" s="173">
        <f t="shared" si="15"/>
        <v>46507</v>
      </c>
      <c r="C128" s="173">
        <f t="shared" si="19"/>
        <v>46538</v>
      </c>
      <c r="D128" s="173"/>
      <c r="E128" s="174">
        <f t="shared" si="21"/>
        <v>157626.06</v>
      </c>
      <c r="F128" s="174">
        <f t="shared" si="18"/>
        <v>10876198.180000033</v>
      </c>
      <c r="G128" s="175">
        <f t="shared" si="16"/>
        <v>58731.47</v>
      </c>
      <c r="H128" s="175"/>
      <c r="I128" s="195">
        <f t="shared" si="17"/>
        <v>216357.53</v>
      </c>
      <c r="J128" s="149"/>
      <c r="K128" s="152">
        <f t="shared" si="20"/>
        <v>48079.451111111113</v>
      </c>
      <c r="L128" s="185"/>
      <c r="M128" s="185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</row>
    <row r="129" spans="1:30" s="176" customFormat="1">
      <c r="A129" s="176">
        <f t="shared" si="22"/>
        <v>78</v>
      </c>
      <c r="B129" s="173">
        <f t="shared" si="15"/>
        <v>46538</v>
      </c>
      <c r="C129" s="173">
        <f t="shared" si="19"/>
        <v>46568</v>
      </c>
      <c r="D129" s="173"/>
      <c r="E129" s="174">
        <f t="shared" si="21"/>
        <v>157626.06</v>
      </c>
      <c r="F129" s="174">
        <f t="shared" si="18"/>
        <v>10718572.120000033</v>
      </c>
      <c r="G129" s="175">
        <f t="shared" si="16"/>
        <v>59809.63</v>
      </c>
      <c r="H129" s="175"/>
      <c r="I129" s="195">
        <f t="shared" si="17"/>
        <v>217435.69</v>
      </c>
      <c r="J129" s="149"/>
      <c r="K129" s="152">
        <f t="shared" si="20"/>
        <v>48319.042222222226</v>
      </c>
      <c r="L129" s="185"/>
      <c r="M129" s="185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</row>
    <row r="130" spans="1:30" s="176" customFormat="1">
      <c r="A130" s="176">
        <f t="shared" si="22"/>
        <v>79</v>
      </c>
      <c r="B130" s="173">
        <f t="shared" si="15"/>
        <v>46568</v>
      </c>
      <c r="C130" s="173">
        <f t="shared" si="19"/>
        <v>46599</v>
      </c>
      <c r="D130" s="173"/>
      <c r="E130" s="174">
        <f t="shared" si="21"/>
        <v>157626.06</v>
      </c>
      <c r="F130" s="174">
        <f t="shared" si="18"/>
        <v>10560946.060000032</v>
      </c>
      <c r="G130" s="175">
        <f t="shared" si="16"/>
        <v>57029.11</v>
      </c>
      <c r="H130" s="175"/>
      <c r="I130" s="195">
        <f t="shared" si="17"/>
        <v>214655.16999999998</v>
      </c>
      <c r="J130" s="149"/>
      <c r="K130" s="152">
        <f t="shared" si="20"/>
        <v>47701.148888888885</v>
      </c>
      <c r="L130" s="185"/>
      <c r="M130" s="185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</row>
    <row r="131" spans="1:30" s="176" customFormat="1">
      <c r="A131" s="176">
        <f t="shared" si="22"/>
        <v>80</v>
      </c>
      <c r="B131" s="173">
        <f t="shared" si="15"/>
        <v>46599</v>
      </c>
      <c r="C131" s="173">
        <f t="shared" si="19"/>
        <v>46630</v>
      </c>
      <c r="D131" s="173"/>
      <c r="E131" s="174">
        <f t="shared" si="21"/>
        <v>157626.06</v>
      </c>
      <c r="F131" s="174">
        <f t="shared" si="18"/>
        <v>10403320.000000032</v>
      </c>
      <c r="G131" s="175">
        <f t="shared" si="16"/>
        <v>58050.53</v>
      </c>
      <c r="H131" s="175"/>
      <c r="I131" s="195">
        <f t="shared" si="17"/>
        <v>215676.59</v>
      </c>
      <c r="J131" s="149"/>
      <c r="K131" s="152">
        <f t="shared" si="20"/>
        <v>47928.131111111114</v>
      </c>
      <c r="L131" s="185"/>
      <c r="M131" s="185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</row>
    <row r="132" spans="1:30" s="176" customFormat="1">
      <c r="A132" s="176">
        <f t="shared" si="22"/>
        <v>81</v>
      </c>
      <c r="B132" s="173">
        <f t="shared" si="15"/>
        <v>46630</v>
      </c>
      <c r="C132" s="173">
        <f t="shared" si="19"/>
        <v>46660</v>
      </c>
      <c r="D132" s="173"/>
      <c r="E132" s="174">
        <f t="shared" si="21"/>
        <v>157626.06</v>
      </c>
      <c r="F132" s="174">
        <f t="shared" si="18"/>
        <v>10245693.940000031</v>
      </c>
      <c r="G132" s="175">
        <f t="shared" si="16"/>
        <v>57170.97</v>
      </c>
      <c r="H132" s="175"/>
      <c r="I132" s="195">
        <f t="shared" si="17"/>
        <v>214797.03</v>
      </c>
      <c r="J132" s="149"/>
      <c r="K132" s="152">
        <f t="shared" si="20"/>
        <v>47732.673333333332</v>
      </c>
      <c r="L132" s="185"/>
      <c r="M132" s="185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</row>
    <row r="133" spans="1:30" s="176" customFormat="1">
      <c r="A133" s="176">
        <f t="shared" si="22"/>
        <v>82</v>
      </c>
      <c r="B133" s="173">
        <f t="shared" si="15"/>
        <v>46660</v>
      </c>
      <c r="C133" s="173">
        <f t="shared" si="19"/>
        <v>46691</v>
      </c>
      <c r="D133" s="173"/>
      <c r="E133" s="174">
        <f t="shared" si="21"/>
        <v>157626.06</v>
      </c>
      <c r="F133" s="174">
        <f t="shared" si="18"/>
        <v>10088067.880000031</v>
      </c>
      <c r="G133" s="175">
        <f t="shared" si="16"/>
        <v>54475.57</v>
      </c>
      <c r="H133" s="175"/>
      <c r="I133" s="195">
        <f t="shared" si="17"/>
        <v>212101.63</v>
      </c>
      <c r="J133" s="149"/>
      <c r="K133" s="152">
        <f t="shared" si="20"/>
        <v>47133.695555555554</v>
      </c>
      <c r="L133" s="185"/>
      <c r="M133" s="185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</row>
    <row r="134" spans="1:30" s="176" customFormat="1">
      <c r="A134" s="176">
        <f t="shared" si="22"/>
        <v>83</v>
      </c>
      <c r="B134" s="173">
        <f t="shared" si="15"/>
        <v>46691</v>
      </c>
      <c r="C134" s="173">
        <f t="shared" si="19"/>
        <v>46721</v>
      </c>
      <c r="D134" s="173"/>
      <c r="E134" s="174">
        <f t="shared" si="21"/>
        <v>157626.06</v>
      </c>
      <c r="F134" s="174">
        <f t="shared" si="18"/>
        <v>9930441.8200000301</v>
      </c>
      <c r="G134" s="175">
        <f t="shared" si="16"/>
        <v>55411.87</v>
      </c>
      <c r="H134" s="175"/>
      <c r="I134" s="195">
        <f t="shared" si="17"/>
        <v>213037.93</v>
      </c>
      <c r="J134" s="149"/>
      <c r="K134" s="152">
        <f t="shared" si="20"/>
        <v>47341.76222222222</v>
      </c>
      <c r="L134" s="185"/>
      <c r="M134" s="185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</row>
    <row r="135" spans="1:30" s="176" customFormat="1">
      <c r="A135" s="176">
        <f t="shared" si="22"/>
        <v>84</v>
      </c>
      <c r="B135" s="173">
        <f t="shared" si="15"/>
        <v>46721</v>
      </c>
      <c r="C135" s="173">
        <f t="shared" si="19"/>
        <v>46752</v>
      </c>
      <c r="D135" s="173"/>
      <c r="E135" s="174">
        <f t="shared" si="21"/>
        <v>157626.06</v>
      </c>
      <c r="F135" s="174">
        <f t="shared" si="18"/>
        <v>9772815.7600000296</v>
      </c>
      <c r="G135" s="175">
        <f t="shared" si="16"/>
        <v>52773.21</v>
      </c>
      <c r="H135" s="175"/>
      <c r="I135" s="195">
        <f t="shared" si="17"/>
        <v>210399.27</v>
      </c>
      <c r="J135" s="149"/>
      <c r="K135" s="152">
        <f t="shared" si="20"/>
        <v>46755.393333333333</v>
      </c>
      <c r="L135" s="185"/>
      <c r="M135" s="185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</row>
    <row r="136" spans="1:30" s="171" customFormat="1">
      <c r="A136" s="171">
        <f t="shared" si="22"/>
        <v>85</v>
      </c>
      <c r="B136" s="168">
        <f t="shared" si="15"/>
        <v>46752</v>
      </c>
      <c r="C136" s="168">
        <f t="shared" si="19"/>
        <v>46783</v>
      </c>
      <c r="D136" s="168"/>
      <c r="E136" s="169">
        <f t="shared" si="21"/>
        <v>157626.06</v>
      </c>
      <c r="F136" s="169">
        <f t="shared" si="18"/>
        <v>9615189.7000000291</v>
      </c>
      <c r="G136" s="170">
        <f t="shared" si="16"/>
        <v>53652.76</v>
      </c>
      <c r="H136" s="170"/>
      <c r="I136" s="194">
        <f t="shared" si="17"/>
        <v>211278.82</v>
      </c>
      <c r="K136" s="172">
        <f t="shared" si="20"/>
        <v>46950.84888888889</v>
      </c>
      <c r="L136" s="172">
        <f>SUM(E125:E136)</f>
        <v>1891512.7200000004</v>
      </c>
      <c r="M136" s="172">
        <f>SUM(G125:G136)</f>
        <v>688406.61999999988</v>
      </c>
    </row>
    <row r="137" spans="1:30" s="176" customFormat="1">
      <c r="A137" s="176">
        <f t="shared" si="22"/>
        <v>86</v>
      </c>
      <c r="B137" s="173">
        <f t="shared" si="15"/>
        <v>46783</v>
      </c>
      <c r="C137" s="173">
        <f t="shared" si="19"/>
        <v>46812</v>
      </c>
      <c r="D137" s="173"/>
      <c r="E137" s="174">
        <f t="shared" si="21"/>
        <v>157626.06</v>
      </c>
      <c r="F137" s="174">
        <f t="shared" si="18"/>
        <v>9457563.6400000285</v>
      </c>
      <c r="G137" s="175">
        <f t="shared" si="16"/>
        <v>52773.21</v>
      </c>
      <c r="H137" s="175"/>
      <c r="I137" s="195">
        <f t="shared" si="17"/>
        <v>210399.27</v>
      </c>
      <c r="J137" s="149"/>
      <c r="K137" s="152">
        <f t="shared" si="20"/>
        <v>46755.393333333333</v>
      </c>
      <c r="L137" s="185"/>
      <c r="M137" s="185"/>
      <c r="N137" s="152"/>
      <c r="O137" s="152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</row>
    <row r="138" spans="1:30" s="176" customFormat="1">
      <c r="A138" s="176">
        <f t="shared" si="22"/>
        <v>87</v>
      </c>
      <c r="B138" s="173">
        <f t="shared" si="15"/>
        <v>46812</v>
      </c>
      <c r="C138" s="173">
        <f t="shared" si="19"/>
        <v>46843</v>
      </c>
      <c r="D138" s="173"/>
      <c r="E138" s="174">
        <f t="shared" si="21"/>
        <v>157626.06</v>
      </c>
      <c r="F138" s="174">
        <f t="shared" si="18"/>
        <v>9299937.580000028</v>
      </c>
      <c r="G138" s="175">
        <f t="shared" si="16"/>
        <v>48545.67</v>
      </c>
      <c r="H138" s="175"/>
      <c r="I138" s="195">
        <f t="shared" si="17"/>
        <v>206171.72999999998</v>
      </c>
      <c r="J138" s="149"/>
      <c r="K138" s="152">
        <f t="shared" si="20"/>
        <v>45815.939999999995</v>
      </c>
      <c r="L138" s="185"/>
      <c r="M138" s="185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</row>
    <row r="139" spans="1:30" s="176" customFormat="1">
      <c r="A139" s="176">
        <f t="shared" si="22"/>
        <v>88</v>
      </c>
      <c r="B139" s="173">
        <f t="shared" si="15"/>
        <v>46843</v>
      </c>
      <c r="C139" s="173">
        <f t="shared" si="19"/>
        <v>46873</v>
      </c>
      <c r="D139" s="173"/>
      <c r="E139" s="174">
        <f t="shared" si="21"/>
        <v>157626.06</v>
      </c>
      <c r="F139" s="174">
        <f t="shared" si="18"/>
        <v>9142311.5200000275</v>
      </c>
      <c r="G139" s="175">
        <f t="shared" si="16"/>
        <v>51014.1</v>
      </c>
      <c r="H139" s="175"/>
      <c r="I139" s="195">
        <f t="shared" si="17"/>
        <v>208640.16</v>
      </c>
      <c r="J139" s="149"/>
      <c r="K139" s="152">
        <f t="shared" si="20"/>
        <v>46364.480000000003</v>
      </c>
      <c r="L139" s="185"/>
      <c r="M139" s="185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</row>
    <row r="140" spans="1:30" s="176" customFormat="1">
      <c r="A140" s="176">
        <f t="shared" si="22"/>
        <v>89</v>
      </c>
      <c r="B140" s="173">
        <f t="shared" si="15"/>
        <v>46873</v>
      </c>
      <c r="C140" s="173">
        <f t="shared" si="19"/>
        <v>46904</v>
      </c>
      <c r="D140" s="173"/>
      <c r="E140" s="174">
        <f t="shared" si="21"/>
        <v>157626.06</v>
      </c>
      <c r="F140" s="174">
        <f t="shared" si="18"/>
        <v>8984685.460000027</v>
      </c>
      <c r="G140" s="175">
        <f t="shared" si="16"/>
        <v>48517.3</v>
      </c>
      <c r="H140" s="175"/>
      <c r="I140" s="195">
        <f t="shared" si="17"/>
        <v>206143.35999999999</v>
      </c>
      <c r="J140" s="149"/>
      <c r="K140" s="152">
        <f t="shared" si="20"/>
        <v>45809.635555555549</v>
      </c>
      <c r="L140" s="185"/>
      <c r="M140" s="185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</row>
    <row r="141" spans="1:30" s="176" customFormat="1">
      <c r="A141" s="176">
        <f t="shared" si="22"/>
        <v>90</v>
      </c>
      <c r="B141" s="173">
        <f t="shared" si="15"/>
        <v>46904</v>
      </c>
      <c r="C141" s="173">
        <f t="shared" si="19"/>
        <v>46934</v>
      </c>
      <c r="D141" s="173"/>
      <c r="E141" s="174">
        <f t="shared" si="21"/>
        <v>157626.06</v>
      </c>
      <c r="F141" s="174">
        <f t="shared" si="18"/>
        <v>8827059.4000000264</v>
      </c>
      <c r="G141" s="175">
        <f t="shared" si="16"/>
        <v>49254.99</v>
      </c>
      <c r="H141" s="175"/>
      <c r="I141" s="195">
        <f t="shared" si="17"/>
        <v>206881.05</v>
      </c>
      <c r="J141" s="149"/>
      <c r="K141" s="152">
        <f t="shared" si="20"/>
        <v>45973.566666666666</v>
      </c>
      <c r="L141" s="185"/>
      <c r="M141" s="185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</row>
    <row r="142" spans="1:30" s="176" customFormat="1">
      <c r="A142" s="176">
        <f t="shared" si="22"/>
        <v>91</v>
      </c>
      <c r="B142" s="173">
        <f t="shared" si="15"/>
        <v>46934</v>
      </c>
      <c r="C142" s="173">
        <f t="shared" si="19"/>
        <v>46965</v>
      </c>
      <c r="D142" s="173"/>
      <c r="E142" s="174">
        <f t="shared" si="21"/>
        <v>157626.06</v>
      </c>
      <c r="F142" s="174">
        <f t="shared" si="18"/>
        <v>8669433.3400000259</v>
      </c>
      <c r="G142" s="175">
        <f t="shared" si="16"/>
        <v>46814.94</v>
      </c>
      <c r="H142" s="175"/>
      <c r="I142" s="195">
        <f t="shared" si="17"/>
        <v>204441</v>
      </c>
      <c r="J142" s="149"/>
      <c r="K142" s="152">
        <f t="shared" si="20"/>
        <v>45431.333333333336</v>
      </c>
      <c r="L142" s="185"/>
      <c r="M142" s="185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</row>
    <row r="143" spans="1:30" s="176" customFormat="1">
      <c r="A143" s="176">
        <f t="shared" si="22"/>
        <v>92</v>
      </c>
      <c r="B143" s="173">
        <f t="shared" si="15"/>
        <v>46965</v>
      </c>
      <c r="C143" s="173">
        <f t="shared" si="19"/>
        <v>46996</v>
      </c>
      <c r="D143" s="173"/>
      <c r="E143" s="174">
        <f t="shared" si="21"/>
        <v>157626.06</v>
      </c>
      <c r="F143" s="174">
        <f t="shared" si="18"/>
        <v>8511807.2800000254</v>
      </c>
      <c r="G143" s="175">
        <f t="shared" si="16"/>
        <v>47495.88</v>
      </c>
      <c r="H143" s="175"/>
      <c r="I143" s="195">
        <f t="shared" si="17"/>
        <v>205121.94</v>
      </c>
      <c r="J143" s="149"/>
      <c r="K143" s="152">
        <f t="shared" si="20"/>
        <v>45582.653333333335</v>
      </c>
      <c r="L143" s="185"/>
      <c r="M143" s="185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</row>
    <row r="144" spans="1:30" s="176" customFormat="1">
      <c r="A144" s="176">
        <f t="shared" si="22"/>
        <v>93</v>
      </c>
      <c r="B144" s="173">
        <f t="shared" si="15"/>
        <v>46996</v>
      </c>
      <c r="C144" s="173">
        <f t="shared" si="19"/>
        <v>47026</v>
      </c>
      <c r="D144" s="173"/>
      <c r="E144" s="174">
        <f t="shared" si="21"/>
        <v>157626.06</v>
      </c>
      <c r="F144" s="174">
        <f t="shared" si="18"/>
        <v>8354181.2200000258</v>
      </c>
      <c r="G144" s="175">
        <f t="shared" si="16"/>
        <v>46616.33</v>
      </c>
      <c r="H144" s="175"/>
      <c r="I144" s="195">
        <f t="shared" si="17"/>
        <v>204242.39</v>
      </c>
      <c r="J144" s="149"/>
      <c r="K144" s="152">
        <f t="shared" si="20"/>
        <v>45387.197777777779</v>
      </c>
      <c r="L144" s="185"/>
      <c r="M144" s="185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</row>
    <row r="145" spans="1:30" s="176" customFormat="1">
      <c r="A145" s="176">
        <f t="shared" si="22"/>
        <v>94</v>
      </c>
      <c r="B145" s="173">
        <f t="shared" si="15"/>
        <v>47026</v>
      </c>
      <c r="C145" s="173">
        <f t="shared" si="19"/>
        <v>47057</v>
      </c>
      <c r="D145" s="173"/>
      <c r="E145" s="174">
        <f t="shared" si="21"/>
        <v>157626.06</v>
      </c>
      <c r="F145" s="174">
        <f t="shared" si="18"/>
        <v>8196555.1600000262</v>
      </c>
      <c r="G145" s="175">
        <f t="shared" si="16"/>
        <v>44261.4</v>
      </c>
      <c r="H145" s="175"/>
      <c r="I145" s="195">
        <f t="shared" si="17"/>
        <v>201887.46</v>
      </c>
      <c r="J145" s="149"/>
      <c r="K145" s="152">
        <f t="shared" si="20"/>
        <v>44863.88</v>
      </c>
      <c r="L145" s="185"/>
      <c r="M145" s="185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</row>
    <row r="146" spans="1:30" s="176" customFormat="1">
      <c r="A146" s="176">
        <f t="shared" si="22"/>
        <v>95</v>
      </c>
      <c r="B146" s="173">
        <f t="shared" si="15"/>
        <v>47057</v>
      </c>
      <c r="C146" s="173">
        <f t="shared" si="19"/>
        <v>47087</v>
      </c>
      <c r="D146" s="173"/>
      <c r="E146" s="174">
        <f t="shared" si="21"/>
        <v>157626.06</v>
      </c>
      <c r="F146" s="174">
        <f t="shared" si="18"/>
        <v>8038929.1000000266</v>
      </c>
      <c r="G146" s="175">
        <f t="shared" si="16"/>
        <v>44857.22</v>
      </c>
      <c r="H146" s="175"/>
      <c r="I146" s="195">
        <f t="shared" si="17"/>
        <v>202483.28</v>
      </c>
      <c r="J146" s="149"/>
      <c r="K146" s="152">
        <f t="shared" si="20"/>
        <v>44996.284444444442</v>
      </c>
      <c r="L146" s="185"/>
      <c r="M146" s="185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</row>
    <row r="147" spans="1:30" s="176" customFormat="1">
      <c r="A147" s="176">
        <f t="shared" si="22"/>
        <v>96</v>
      </c>
      <c r="B147" s="173">
        <f t="shared" si="15"/>
        <v>47087</v>
      </c>
      <c r="C147" s="173">
        <f t="shared" si="19"/>
        <v>47118</v>
      </c>
      <c r="D147" s="173"/>
      <c r="E147" s="174">
        <f t="shared" si="21"/>
        <v>157626.06</v>
      </c>
      <c r="F147" s="174">
        <f t="shared" si="18"/>
        <v>7881303.040000027</v>
      </c>
      <c r="G147" s="175">
        <f t="shared" si="16"/>
        <v>42559.040000000001</v>
      </c>
      <c r="H147" s="175"/>
      <c r="I147" s="195">
        <f t="shared" si="17"/>
        <v>200185.1</v>
      </c>
      <c r="J147" s="149"/>
      <c r="K147" s="152">
        <f t="shared" si="20"/>
        <v>44485.577777777777</v>
      </c>
      <c r="L147" s="185"/>
      <c r="M147" s="185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</row>
    <row r="148" spans="1:30" s="171" customFormat="1">
      <c r="A148" s="171">
        <f t="shared" si="22"/>
        <v>97</v>
      </c>
      <c r="B148" s="168">
        <f t="shared" ref="B148:B196" si="23">EOMONTH(B147,1)</f>
        <v>47118</v>
      </c>
      <c r="C148" s="168">
        <f t="shared" si="19"/>
        <v>47149</v>
      </c>
      <c r="D148" s="168"/>
      <c r="E148" s="169">
        <f t="shared" si="21"/>
        <v>157626.06</v>
      </c>
      <c r="F148" s="169">
        <f t="shared" si="18"/>
        <v>7723676.9800000275</v>
      </c>
      <c r="G148" s="170">
        <f t="shared" si="16"/>
        <v>43098.12</v>
      </c>
      <c r="H148" s="170"/>
      <c r="I148" s="194">
        <f t="shared" si="17"/>
        <v>200724.18</v>
      </c>
      <c r="K148" s="172">
        <f t="shared" si="20"/>
        <v>44605.373333333329</v>
      </c>
      <c r="L148" s="172">
        <f>SUM(E137:E148)</f>
        <v>1891512.7200000004</v>
      </c>
      <c r="M148" s="172">
        <f>SUM(G137:G148)</f>
        <v>565808.20000000007</v>
      </c>
    </row>
    <row r="149" spans="1:30" s="176" customFormat="1">
      <c r="A149" s="176">
        <f t="shared" si="22"/>
        <v>98</v>
      </c>
      <c r="B149" s="173">
        <f t="shared" si="23"/>
        <v>47149</v>
      </c>
      <c r="C149" s="173">
        <f t="shared" si="19"/>
        <v>47177</v>
      </c>
      <c r="D149" s="173"/>
      <c r="E149" s="174">
        <f t="shared" si="21"/>
        <v>157626.06</v>
      </c>
      <c r="F149" s="174">
        <f t="shared" si="18"/>
        <v>7566050.9200000279</v>
      </c>
      <c r="G149" s="175">
        <f t="shared" ref="G149:G194" si="24">ROUND((B149-B148)*$E$8*F149/360,2)</f>
        <v>42218.559999999998</v>
      </c>
      <c r="H149" s="175"/>
      <c r="I149" s="195">
        <f t="shared" ref="I149:I194" si="25">E149+G149</f>
        <v>199844.62</v>
      </c>
      <c r="J149" s="149"/>
      <c r="K149" s="152">
        <f t="shared" si="20"/>
        <v>44409.915555555555</v>
      </c>
      <c r="L149" s="185"/>
      <c r="M149" s="185"/>
      <c r="N149" s="152"/>
      <c r="O149" s="152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</row>
    <row r="150" spans="1:30" s="176" customFormat="1">
      <c r="A150" s="176">
        <f t="shared" si="22"/>
        <v>99</v>
      </c>
      <c r="B150" s="173">
        <f t="shared" si="23"/>
        <v>47177</v>
      </c>
      <c r="C150" s="173">
        <f t="shared" si="19"/>
        <v>47208</v>
      </c>
      <c r="D150" s="173"/>
      <c r="E150" s="174">
        <f t="shared" si="21"/>
        <v>157626.06</v>
      </c>
      <c r="F150" s="174">
        <f t="shared" si="18"/>
        <v>7408424.8600000283</v>
      </c>
      <c r="G150" s="175">
        <f t="shared" si="24"/>
        <v>37338.46</v>
      </c>
      <c r="H150" s="175"/>
      <c r="I150" s="195">
        <f t="shared" si="25"/>
        <v>194964.52</v>
      </c>
      <c r="J150" s="149"/>
      <c r="K150" s="152">
        <f t="shared" si="20"/>
        <v>43325.448888888888</v>
      </c>
      <c r="L150" s="185"/>
      <c r="M150" s="185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</row>
    <row r="151" spans="1:30" s="176" customFormat="1">
      <c r="A151" s="176">
        <f t="shared" si="22"/>
        <v>100</v>
      </c>
      <c r="B151" s="173">
        <f t="shared" si="23"/>
        <v>47208</v>
      </c>
      <c r="C151" s="173">
        <f t="shared" si="19"/>
        <v>47238</v>
      </c>
      <c r="D151" s="173"/>
      <c r="E151" s="174">
        <f t="shared" si="21"/>
        <v>157626.06</v>
      </c>
      <c r="F151" s="174">
        <f t="shared" si="18"/>
        <v>7250798.8000000287</v>
      </c>
      <c r="G151" s="175">
        <f t="shared" si="24"/>
        <v>40459.46</v>
      </c>
      <c r="H151" s="175"/>
      <c r="I151" s="195">
        <f t="shared" si="25"/>
        <v>198085.52</v>
      </c>
      <c r="J151" s="149"/>
      <c r="K151" s="152">
        <f t="shared" si="20"/>
        <v>44019.004444444443</v>
      </c>
      <c r="L151" s="185"/>
      <c r="M151" s="185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</row>
    <row r="152" spans="1:30" s="176" customFormat="1">
      <c r="A152" s="176">
        <f t="shared" si="22"/>
        <v>101</v>
      </c>
      <c r="B152" s="173">
        <f t="shared" si="23"/>
        <v>47238</v>
      </c>
      <c r="C152" s="173">
        <f t="shared" si="19"/>
        <v>47269</v>
      </c>
      <c r="D152" s="173"/>
      <c r="E152" s="174">
        <f t="shared" si="21"/>
        <v>157626.06</v>
      </c>
      <c r="F152" s="174">
        <f t="shared" ref="F152:F193" si="26">F151-E151+D151</f>
        <v>7093172.7400000291</v>
      </c>
      <c r="G152" s="175">
        <f t="shared" si="24"/>
        <v>38303.129999999997</v>
      </c>
      <c r="H152" s="175"/>
      <c r="I152" s="195">
        <f t="shared" si="25"/>
        <v>195929.19</v>
      </c>
      <c r="J152" s="149"/>
      <c r="K152" s="152">
        <f t="shared" si="20"/>
        <v>43539.82</v>
      </c>
      <c r="L152" s="185"/>
      <c r="M152" s="185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</row>
    <row r="153" spans="1:30" s="176" customFormat="1">
      <c r="A153" s="176">
        <f t="shared" si="22"/>
        <v>102</v>
      </c>
      <c r="B153" s="173">
        <f t="shared" si="23"/>
        <v>47269</v>
      </c>
      <c r="C153" s="173">
        <f t="shared" si="19"/>
        <v>47299</v>
      </c>
      <c r="D153" s="173"/>
      <c r="E153" s="174">
        <f t="shared" si="21"/>
        <v>157626.06</v>
      </c>
      <c r="F153" s="174">
        <f t="shared" si="26"/>
        <v>6935546.6800000295</v>
      </c>
      <c r="G153" s="175">
        <f t="shared" si="24"/>
        <v>38700.35</v>
      </c>
      <c r="H153" s="175"/>
      <c r="I153" s="195">
        <f t="shared" si="25"/>
        <v>196326.41</v>
      </c>
      <c r="J153" s="149"/>
      <c r="K153" s="152">
        <f t="shared" si="20"/>
        <v>43628.091111111113</v>
      </c>
      <c r="L153" s="185"/>
      <c r="M153" s="185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</row>
    <row r="154" spans="1:30" s="176" customFormat="1">
      <c r="A154" s="176">
        <f t="shared" si="22"/>
        <v>103</v>
      </c>
      <c r="B154" s="173">
        <f t="shared" si="23"/>
        <v>47299</v>
      </c>
      <c r="C154" s="173">
        <f t="shared" si="19"/>
        <v>47330</v>
      </c>
      <c r="D154" s="173"/>
      <c r="E154" s="174">
        <f t="shared" si="21"/>
        <v>157626.06</v>
      </c>
      <c r="F154" s="174">
        <f t="shared" si="26"/>
        <v>6777920.6200000299</v>
      </c>
      <c r="G154" s="175">
        <f t="shared" si="24"/>
        <v>36600.769999999997</v>
      </c>
      <c r="H154" s="175"/>
      <c r="I154" s="195">
        <f t="shared" si="25"/>
        <v>194226.83</v>
      </c>
      <c r="J154" s="149"/>
      <c r="K154" s="152">
        <f t="shared" si="20"/>
        <v>43161.517777777772</v>
      </c>
      <c r="L154" s="185"/>
      <c r="M154" s="185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</row>
    <row r="155" spans="1:30" s="176" customFormat="1">
      <c r="A155" s="176">
        <f t="shared" si="22"/>
        <v>104</v>
      </c>
      <c r="B155" s="173">
        <f t="shared" si="23"/>
        <v>47330</v>
      </c>
      <c r="C155" s="173">
        <f t="shared" si="19"/>
        <v>47361</v>
      </c>
      <c r="D155" s="173"/>
      <c r="E155" s="174">
        <f t="shared" si="21"/>
        <v>157626.06</v>
      </c>
      <c r="F155" s="174">
        <f t="shared" si="26"/>
        <v>6620294.5600000303</v>
      </c>
      <c r="G155" s="175">
        <f t="shared" si="24"/>
        <v>36941.24</v>
      </c>
      <c r="H155" s="175"/>
      <c r="I155" s="195">
        <f t="shared" si="25"/>
        <v>194567.3</v>
      </c>
      <c r="J155" s="149"/>
      <c r="K155" s="152">
        <f t="shared" si="20"/>
        <v>43237.177777777775</v>
      </c>
      <c r="L155" s="185"/>
      <c r="M155" s="185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</row>
    <row r="156" spans="1:30" s="176" customFormat="1">
      <c r="A156" s="176">
        <f t="shared" si="22"/>
        <v>105</v>
      </c>
      <c r="B156" s="173">
        <f t="shared" si="23"/>
        <v>47361</v>
      </c>
      <c r="C156" s="173">
        <f t="shared" si="19"/>
        <v>47391</v>
      </c>
      <c r="D156" s="173"/>
      <c r="E156" s="174">
        <f t="shared" si="21"/>
        <v>157626.06</v>
      </c>
      <c r="F156" s="174">
        <f t="shared" si="26"/>
        <v>6462668.5000000307</v>
      </c>
      <c r="G156" s="175">
        <f t="shared" si="24"/>
        <v>36061.69</v>
      </c>
      <c r="H156" s="175"/>
      <c r="I156" s="195">
        <f t="shared" si="25"/>
        <v>193687.75</v>
      </c>
      <c r="J156" s="149"/>
      <c r="K156" s="152">
        <f t="shared" si="20"/>
        <v>43041.722222222219</v>
      </c>
      <c r="L156" s="185"/>
      <c r="M156" s="185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</row>
    <row r="157" spans="1:30" s="176" customFormat="1">
      <c r="A157" s="176">
        <f t="shared" si="22"/>
        <v>106</v>
      </c>
      <c r="B157" s="173">
        <f t="shared" si="23"/>
        <v>47391</v>
      </c>
      <c r="C157" s="173">
        <f t="shared" si="19"/>
        <v>47422</v>
      </c>
      <c r="D157" s="173"/>
      <c r="E157" s="174">
        <f t="shared" si="21"/>
        <v>157626.06</v>
      </c>
      <c r="F157" s="174">
        <f t="shared" si="26"/>
        <v>6305042.4400000311</v>
      </c>
      <c r="G157" s="175">
        <f t="shared" si="24"/>
        <v>34047.230000000003</v>
      </c>
      <c r="H157" s="175"/>
      <c r="I157" s="195">
        <f t="shared" si="25"/>
        <v>191673.29</v>
      </c>
      <c r="J157" s="149"/>
      <c r="K157" s="152">
        <f t="shared" si="20"/>
        <v>42594.064444444448</v>
      </c>
      <c r="L157" s="185"/>
      <c r="M157" s="185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</row>
    <row r="158" spans="1:30" s="176" customFormat="1">
      <c r="A158" s="176">
        <f t="shared" si="22"/>
        <v>107</v>
      </c>
      <c r="B158" s="173">
        <f t="shared" si="23"/>
        <v>47422</v>
      </c>
      <c r="C158" s="173">
        <f t="shared" si="19"/>
        <v>47452</v>
      </c>
      <c r="D158" s="173"/>
      <c r="E158" s="174">
        <f t="shared" si="21"/>
        <v>157626.06</v>
      </c>
      <c r="F158" s="174">
        <f t="shared" si="26"/>
        <v>6147416.3800000316</v>
      </c>
      <c r="G158" s="175">
        <f t="shared" si="24"/>
        <v>34302.58</v>
      </c>
      <c r="H158" s="175"/>
      <c r="I158" s="195">
        <f t="shared" si="25"/>
        <v>191928.64</v>
      </c>
      <c r="J158" s="149"/>
      <c r="K158" s="152">
        <f t="shared" si="20"/>
        <v>42650.808888888889</v>
      </c>
      <c r="L158" s="185"/>
      <c r="M158" s="185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</row>
    <row r="159" spans="1:30" s="176" customFormat="1">
      <c r="A159" s="176">
        <f t="shared" si="22"/>
        <v>108</v>
      </c>
      <c r="B159" s="173">
        <f t="shared" si="23"/>
        <v>47452</v>
      </c>
      <c r="C159" s="173">
        <f t="shared" si="19"/>
        <v>47483</v>
      </c>
      <c r="D159" s="173"/>
      <c r="E159" s="174">
        <f t="shared" si="21"/>
        <v>157626.06</v>
      </c>
      <c r="F159" s="174">
        <f t="shared" si="26"/>
        <v>5989790.320000032</v>
      </c>
      <c r="G159" s="175">
        <f t="shared" si="24"/>
        <v>32344.87</v>
      </c>
      <c r="H159" s="175"/>
      <c r="I159" s="195">
        <f t="shared" si="25"/>
        <v>189970.93</v>
      </c>
      <c r="J159" s="149"/>
      <c r="K159" s="152">
        <f t="shared" si="20"/>
        <v>42215.76222222222</v>
      </c>
      <c r="L159" s="185"/>
      <c r="M159" s="185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</row>
    <row r="160" spans="1:30" s="171" customFormat="1">
      <c r="A160" s="171">
        <f t="shared" si="22"/>
        <v>109</v>
      </c>
      <c r="B160" s="168">
        <f t="shared" si="23"/>
        <v>47483</v>
      </c>
      <c r="C160" s="168">
        <f t="shared" ref="C160:C193" si="27">B161</f>
        <v>47514</v>
      </c>
      <c r="D160" s="168"/>
      <c r="E160" s="169">
        <f t="shared" si="21"/>
        <v>157626.06</v>
      </c>
      <c r="F160" s="169">
        <f t="shared" si="26"/>
        <v>5832164.2600000324</v>
      </c>
      <c r="G160" s="170">
        <f t="shared" si="24"/>
        <v>32543.48</v>
      </c>
      <c r="H160" s="170"/>
      <c r="I160" s="194">
        <f t="shared" si="25"/>
        <v>190169.54</v>
      </c>
      <c r="K160" s="172">
        <f t="shared" ref="K160:K197" si="28">I160/4.5</f>
        <v>42259.897777777776</v>
      </c>
      <c r="L160" s="172">
        <f>SUM(E149:E160)</f>
        <v>1891512.7200000004</v>
      </c>
      <c r="M160" s="172">
        <f>SUM(G149:G160)</f>
        <v>439861.81999999995</v>
      </c>
    </row>
    <row r="161" spans="1:30" s="176" customFormat="1">
      <c r="A161" s="176">
        <f t="shared" si="22"/>
        <v>110</v>
      </c>
      <c r="B161" s="173">
        <f t="shared" si="23"/>
        <v>47514</v>
      </c>
      <c r="C161" s="173">
        <f t="shared" si="27"/>
        <v>47542</v>
      </c>
      <c r="D161" s="173"/>
      <c r="E161" s="174">
        <f t="shared" si="21"/>
        <v>157626.06</v>
      </c>
      <c r="F161" s="174">
        <f t="shared" si="26"/>
        <v>5674538.2000000328</v>
      </c>
      <c r="G161" s="175">
        <f t="shared" si="24"/>
        <v>31663.919999999998</v>
      </c>
      <c r="H161" s="175"/>
      <c r="I161" s="195">
        <f t="shared" si="25"/>
        <v>189289.97999999998</v>
      </c>
      <c r="J161" s="149"/>
      <c r="K161" s="152">
        <f t="shared" si="28"/>
        <v>42064.439999999995</v>
      </c>
      <c r="L161" s="185"/>
      <c r="M161" s="185"/>
      <c r="N161" s="152"/>
      <c r="O161" s="152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</row>
    <row r="162" spans="1:30" s="176" customFormat="1">
      <c r="A162" s="176">
        <f t="shared" si="22"/>
        <v>111</v>
      </c>
      <c r="B162" s="173">
        <f t="shared" si="23"/>
        <v>47542</v>
      </c>
      <c r="C162" s="173">
        <f t="shared" si="27"/>
        <v>47573</v>
      </c>
      <c r="D162" s="173"/>
      <c r="E162" s="174">
        <f t="shared" si="21"/>
        <v>157626.06</v>
      </c>
      <c r="F162" s="174">
        <f t="shared" si="26"/>
        <v>5516912.1400000332</v>
      </c>
      <c r="G162" s="175">
        <f t="shared" si="24"/>
        <v>27805.24</v>
      </c>
      <c r="H162" s="175"/>
      <c r="I162" s="195">
        <f t="shared" si="25"/>
        <v>185431.3</v>
      </c>
      <c r="J162" s="149"/>
      <c r="K162" s="152">
        <f t="shared" si="28"/>
        <v>41206.955555555556</v>
      </c>
      <c r="L162" s="185"/>
      <c r="M162" s="185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</row>
    <row r="163" spans="1:30" s="176" customFormat="1">
      <c r="A163" s="176">
        <f t="shared" si="22"/>
        <v>112</v>
      </c>
      <c r="B163" s="173">
        <f t="shared" si="23"/>
        <v>47573</v>
      </c>
      <c r="C163" s="173">
        <f t="shared" si="27"/>
        <v>47603</v>
      </c>
      <c r="D163" s="173"/>
      <c r="E163" s="174">
        <f t="shared" si="21"/>
        <v>157626.06</v>
      </c>
      <c r="F163" s="174">
        <f t="shared" si="26"/>
        <v>5359286.0800000336</v>
      </c>
      <c r="G163" s="175">
        <f t="shared" si="24"/>
        <v>29904.82</v>
      </c>
      <c r="H163" s="175"/>
      <c r="I163" s="195">
        <f t="shared" si="25"/>
        <v>187530.88</v>
      </c>
      <c r="J163" s="149"/>
      <c r="K163" s="152">
        <f t="shared" si="28"/>
        <v>41673.52888888889</v>
      </c>
      <c r="L163" s="185"/>
      <c r="M163" s="185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</row>
    <row r="164" spans="1:30" s="176" customFormat="1">
      <c r="A164" s="176">
        <f t="shared" si="22"/>
        <v>113</v>
      </c>
      <c r="B164" s="173">
        <f t="shared" si="23"/>
        <v>47603</v>
      </c>
      <c r="C164" s="173">
        <f t="shared" si="27"/>
        <v>47634</v>
      </c>
      <c r="D164" s="173"/>
      <c r="E164" s="174">
        <f t="shared" si="21"/>
        <v>157626.06</v>
      </c>
      <c r="F164" s="174">
        <f t="shared" si="26"/>
        <v>5201660.020000034</v>
      </c>
      <c r="G164" s="175">
        <f t="shared" si="24"/>
        <v>28088.959999999999</v>
      </c>
      <c r="H164" s="175"/>
      <c r="I164" s="195">
        <f t="shared" si="25"/>
        <v>185715.02</v>
      </c>
      <c r="J164" s="149"/>
      <c r="K164" s="152">
        <f t="shared" si="28"/>
        <v>41270.004444444443</v>
      </c>
      <c r="L164" s="185"/>
      <c r="M164" s="185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</row>
    <row r="165" spans="1:30" s="176" customFormat="1">
      <c r="A165" s="176">
        <f t="shared" si="22"/>
        <v>114</v>
      </c>
      <c r="B165" s="173">
        <f t="shared" si="23"/>
        <v>47634</v>
      </c>
      <c r="C165" s="173">
        <f t="shared" si="27"/>
        <v>47664</v>
      </c>
      <c r="D165" s="173"/>
      <c r="E165" s="174">
        <f t="shared" si="21"/>
        <v>157626.06</v>
      </c>
      <c r="F165" s="174">
        <f t="shared" si="26"/>
        <v>5044033.9600000344</v>
      </c>
      <c r="G165" s="175">
        <f t="shared" si="24"/>
        <v>28145.71</v>
      </c>
      <c r="H165" s="175"/>
      <c r="I165" s="195">
        <f t="shared" si="25"/>
        <v>185771.77</v>
      </c>
      <c r="J165" s="149"/>
      <c r="K165" s="152">
        <f t="shared" si="28"/>
        <v>41282.615555555552</v>
      </c>
      <c r="L165" s="185"/>
      <c r="M165" s="185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</row>
    <row r="166" spans="1:30" s="176" customFormat="1">
      <c r="A166" s="176">
        <f t="shared" si="22"/>
        <v>115</v>
      </c>
      <c r="B166" s="173">
        <f t="shared" si="23"/>
        <v>47664</v>
      </c>
      <c r="C166" s="173">
        <f t="shared" si="27"/>
        <v>47695</v>
      </c>
      <c r="D166" s="173"/>
      <c r="E166" s="174">
        <f t="shared" ref="E166:E195" si="29">E165</f>
        <v>157626.06</v>
      </c>
      <c r="F166" s="174">
        <f t="shared" si="26"/>
        <v>4886407.9000000348</v>
      </c>
      <c r="G166" s="175">
        <f t="shared" si="24"/>
        <v>26386.6</v>
      </c>
      <c r="H166" s="175"/>
      <c r="I166" s="195">
        <f t="shared" si="25"/>
        <v>184012.66</v>
      </c>
      <c r="J166" s="149"/>
      <c r="K166" s="152">
        <f t="shared" si="28"/>
        <v>40891.702222222222</v>
      </c>
      <c r="L166" s="185"/>
      <c r="M166" s="185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</row>
    <row r="167" spans="1:30" s="176" customFormat="1">
      <c r="A167" s="176">
        <f t="shared" si="22"/>
        <v>116</v>
      </c>
      <c r="B167" s="173">
        <f t="shared" si="23"/>
        <v>47695</v>
      </c>
      <c r="C167" s="173">
        <f t="shared" si="27"/>
        <v>47726</v>
      </c>
      <c r="D167" s="173"/>
      <c r="E167" s="174">
        <f t="shared" si="29"/>
        <v>157626.06</v>
      </c>
      <c r="F167" s="174">
        <f t="shared" si="26"/>
        <v>4728781.8400000352</v>
      </c>
      <c r="G167" s="175">
        <f t="shared" si="24"/>
        <v>26386.6</v>
      </c>
      <c r="H167" s="175"/>
      <c r="I167" s="195">
        <f t="shared" si="25"/>
        <v>184012.66</v>
      </c>
      <c r="J167" s="149"/>
      <c r="K167" s="152">
        <f t="shared" si="28"/>
        <v>40891.702222222222</v>
      </c>
      <c r="L167" s="185"/>
      <c r="M167" s="185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</row>
    <row r="168" spans="1:30" s="176" customFormat="1">
      <c r="A168" s="176">
        <f t="shared" si="22"/>
        <v>117</v>
      </c>
      <c r="B168" s="173">
        <f t="shared" si="23"/>
        <v>47726</v>
      </c>
      <c r="C168" s="173">
        <f t="shared" si="27"/>
        <v>47756</v>
      </c>
      <c r="D168" s="173"/>
      <c r="E168" s="174">
        <f t="shared" si="29"/>
        <v>157626.06</v>
      </c>
      <c r="F168" s="174">
        <f t="shared" si="26"/>
        <v>4571155.7800000357</v>
      </c>
      <c r="G168" s="175">
        <f t="shared" si="24"/>
        <v>25507.05</v>
      </c>
      <c r="H168" s="175"/>
      <c r="I168" s="195">
        <f t="shared" si="25"/>
        <v>183133.11</v>
      </c>
      <c r="J168" s="149"/>
      <c r="K168" s="152">
        <f t="shared" si="28"/>
        <v>40696.246666666666</v>
      </c>
      <c r="L168" s="185"/>
      <c r="M168" s="185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</row>
    <row r="169" spans="1:30" s="176" customFormat="1">
      <c r="A169" s="176">
        <f t="shared" si="22"/>
        <v>118</v>
      </c>
      <c r="B169" s="173">
        <f t="shared" si="23"/>
        <v>47756</v>
      </c>
      <c r="C169" s="173">
        <f t="shared" si="27"/>
        <v>47787</v>
      </c>
      <c r="D169" s="173"/>
      <c r="E169" s="174">
        <f t="shared" si="29"/>
        <v>157626.06</v>
      </c>
      <c r="F169" s="174">
        <f t="shared" si="26"/>
        <v>4413529.7200000361</v>
      </c>
      <c r="G169" s="175">
        <f t="shared" si="24"/>
        <v>23833.06</v>
      </c>
      <c r="H169" s="175"/>
      <c r="I169" s="195">
        <f t="shared" si="25"/>
        <v>181459.12</v>
      </c>
      <c r="J169" s="149"/>
      <c r="K169" s="152">
        <f t="shared" si="28"/>
        <v>40324.248888888891</v>
      </c>
      <c r="L169" s="185"/>
      <c r="M169" s="185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</row>
    <row r="170" spans="1:30" s="176" customFormat="1">
      <c r="A170" s="176">
        <f t="shared" si="22"/>
        <v>119</v>
      </c>
      <c r="B170" s="173">
        <f t="shared" si="23"/>
        <v>47787</v>
      </c>
      <c r="C170" s="173">
        <f t="shared" si="27"/>
        <v>47817</v>
      </c>
      <c r="D170" s="173"/>
      <c r="E170" s="174">
        <f t="shared" si="29"/>
        <v>157626.06</v>
      </c>
      <c r="F170" s="174">
        <f t="shared" si="26"/>
        <v>4255903.6600000365</v>
      </c>
      <c r="G170" s="175">
        <f t="shared" si="24"/>
        <v>23747.94</v>
      </c>
      <c r="H170" s="175"/>
      <c r="I170" s="195">
        <f t="shared" si="25"/>
        <v>181374</v>
      </c>
      <c r="J170" s="149"/>
      <c r="K170" s="152">
        <f t="shared" si="28"/>
        <v>40305.333333333336</v>
      </c>
      <c r="L170" s="185"/>
      <c r="M170" s="185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</row>
    <row r="171" spans="1:30" s="176" customFormat="1">
      <c r="A171" s="176">
        <f t="shared" si="22"/>
        <v>120</v>
      </c>
      <c r="B171" s="173">
        <f t="shared" si="23"/>
        <v>47817</v>
      </c>
      <c r="C171" s="173">
        <f t="shared" si="27"/>
        <v>47848</v>
      </c>
      <c r="D171" s="173"/>
      <c r="E171" s="174">
        <f t="shared" si="29"/>
        <v>157626.06</v>
      </c>
      <c r="F171" s="174">
        <f t="shared" si="26"/>
        <v>4098277.6000000364</v>
      </c>
      <c r="G171" s="175">
        <f t="shared" si="24"/>
        <v>22130.7</v>
      </c>
      <c r="H171" s="175"/>
      <c r="I171" s="195">
        <f t="shared" si="25"/>
        <v>179756.76</v>
      </c>
      <c r="J171" s="149"/>
      <c r="K171" s="152">
        <f t="shared" si="28"/>
        <v>39945.94666666667</v>
      </c>
      <c r="L171" s="185"/>
      <c r="M171" s="185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</row>
    <row r="172" spans="1:30" s="171" customFormat="1">
      <c r="A172" s="171">
        <f t="shared" si="22"/>
        <v>121</v>
      </c>
      <c r="B172" s="168">
        <f t="shared" si="23"/>
        <v>47848</v>
      </c>
      <c r="C172" s="168">
        <f t="shared" si="27"/>
        <v>47879</v>
      </c>
      <c r="D172" s="168"/>
      <c r="E172" s="169">
        <f t="shared" si="29"/>
        <v>157626.06</v>
      </c>
      <c r="F172" s="169">
        <f t="shared" si="26"/>
        <v>3940651.5400000364</v>
      </c>
      <c r="G172" s="170">
        <f t="shared" si="24"/>
        <v>21988.84</v>
      </c>
      <c r="H172" s="170"/>
      <c r="I172" s="194">
        <f t="shared" si="25"/>
        <v>179614.9</v>
      </c>
      <c r="K172" s="172">
        <f t="shared" si="28"/>
        <v>39914.422222222223</v>
      </c>
      <c r="L172" s="172">
        <f>SUM(E161:E172)</f>
        <v>1891512.7200000004</v>
      </c>
      <c r="M172" s="172">
        <f>SUM(G161:G172)</f>
        <v>315589.44</v>
      </c>
    </row>
    <row r="173" spans="1:30" s="176" customFormat="1">
      <c r="A173" s="176">
        <f t="shared" si="22"/>
        <v>122</v>
      </c>
      <c r="B173" s="173">
        <f t="shared" si="23"/>
        <v>47879</v>
      </c>
      <c r="C173" s="173">
        <f t="shared" si="27"/>
        <v>47907</v>
      </c>
      <c r="D173" s="173"/>
      <c r="E173" s="174">
        <f t="shared" si="29"/>
        <v>157626.06</v>
      </c>
      <c r="F173" s="174">
        <f t="shared" si="26"/>
        <v>3783025.4800000363</v>
      </c>
      <c r="G173" s="175">
        <f t="shared" si="24"/>
        <v>21109.279999999999</v>
      </c>
      <c r="H173" s="175"/>
      <c r="I173" s="195">
        <f t="shared" si="25"/>
        <v>178735.34</v>
      </c>
      <c r="J173" s="149"/>
      <c r="K173" s="152">
        <f t="shared" si="28"/>
        <v>39718.964444444442</v>
      </c>
      <c r="L173" s="185"/>
      <c r="M173" s="185"/>
      <c r="N173" s="152"/>
      <c r="O173" s="152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</row>
    <row r="174" spans="1:30" s="176" customFormat="1">
      <c r="A174" s="176">
        <f t="shared" si="22"/>
        <v>123</v>
      </c>
      <c r="B174" s="173">
        <f t="shared" si="23"/>
        <v>47907</v>
      </c>
      <c r="C174" s="173">
        <f t="shared" si="27"/>
        <v>47938</v>
      </c>
      <c r="D174" s="173"/>
      <c r="E174" s="174">
        <f t="shared" si="29"/>
        <v>157626.06</v>
      </c>
      <c r="F174" s="174">
        <f t="shared" si="26"/>
        <v>3625399.4200000362</v>
      </c>
      <c r="G174" s="175">
        <f t="shared" si="24"/>
        <v>18272.009999999998</v>
      </c>
      <c r="H174" s="175"/>
      <c r="I174" s="195">
        <f t="shared" si="25"/>
        <v>175898.07</v>
      </c>
      <c r="J174" s="149"/>
      <c r="K174" s="152">
        <f t="shared" si="28"/>
        <v>39088.46</v>
      </c>
      <c r="L174" s="185"/>
      <c r="M174" s="185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</row>
    <row r="175" spans="1:30" s="176" customFormat="1">
      <c r="A175" s="176">
        <f t="shared" si="22"/>
        <v>124</v>
      </c>
      <c r="B175" s="173">
        <f t="shared" si="23"/>
        <v>47938</v>
      </c>
      <c r="C175" s="173">
        <f t="shared" si="27"/>
        <v>47968</v>
      </c>
      <c r="D175" s="173"/>
      <c r="E175" s="174">
        <f t="shared" si="29"/>
        <v>157626.06</v>
      </c>
      <c r="F175" s="174">
        <f t="shared" si="26"/>
        <v>3467773.3600000362</v>
      </c>
      <c r="G175" s="175">
        <f t="shared" si="24"/>
        <v>19350.18</v>
      </c>
      <c r="H175" s="175"/>
      <c r="I175" s="195">
        <f t="shared" si="25"/>
        <v>176976.24</v>
      </c>
      <c r="J175" s="149"/>
      <c r="K175" s="152">
        <f t="shared" si="28"/>
        <v>39328.05333333333</v>
      </c>
      <c r="L175" s="185"/>
      <c r="M175" s="185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</row>
    <row r="176" spans="1:30" s="176" customFormat="1">
      <c r="A176" s="176">
        <f t="shared" si="22"/>
        <v>125</v>
      </c>
      <c r="B176" s="173">
        <f t="shared" si="23"/>
        <v>47968</v>
      </c>
      <c r="C176" s="173">
        <f t="shared" si="27"/>
        <v>47999</v>
      </c>
      <c r="D176" s="173"/>
      <c r="E176" s="174">
        <f t="shared" si="29"/>
        <v>157626.06</v>
      </c>
      <c r="F176" s="174">
        <f t="shared" si="26"/>
        <v>3310147.3000000361</v>
      </c>
      <c r="G176" s="175">
        <f t="shared" si="24"/>
        <v>17874.8</v>
      </c>
      <c r="H176" s="175"/>
      <c r="I176" s="195">
        <f t="shared" si="25"/>
        <v>175500.86</v>
      </c>
      <c r="J176" s="149"/>
      <c r="K176" s="152">
        <f t="shared" si="28"/>
        <v>39000.191111111111</v>
      </c>
      <c r="L176" s="185"/>
      <c r="M176" s="185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</row>
    <row r="177" spans="1:30" s="176" customFormat="1">
      <c r="A177" s="176">
        <f t="shared" si="22"/>
        <v>126</v>
      </c>
      <c r="B177" s="173">
        <f t="shared" si="23"/>
        <v>47999</v>
      </c>
      <c r="C177" s="173">
        <f t="shared" si="27"/>
        <v>48029</v>
      </c>
      <c r="D177" s="173"/>
      <c r="E177" s="174">
        <f t="shared" si="29"/>
        <v>157626.06</v>
      </c>
      <c r="F177" s="174">
        <f t="shared" si="26"/>
        <v>3152521.2400000361</v>
      </c>
      <c r="G177" s="175">
        <f t="shared" si="24"/>
        <v>17591.07</v>
      </c>
      <c r="H177" s="175"/>
      <c r="I177" s="195">
        <f t="shared" si="25"/>
        <v>175217.13</v>
      </c>
      <c r="J177" s="149"/>
      <c r="K177" s="152">
        <f t="shared" si="28"/>
        <v>38937.14</v>
      </c>
      <c r="L177" s="185"/>
      <c r="M177" s="185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</row>
    <row r="178" spans="1:30" s="176" customFormat="1">
      <c r="A178" s="176">
        <f t="shared" si="22"/>
        <v>127</v>
      </c>
      <c r="B178" s="173">
        <f t="shared" si="23"/>
        <v>48029</v>
      </c>
      <c r="C178" s="173">
        <f t="shared" si="27"/>
        <v>48060</v>
      </c>
      <c r="D178" s="173"/>
      <c r="E178" s="174">
        <f t="shared" si="29"/>
        <v>157626.06</v>
      </c>
      <c r="F178" s="174">
        <f t="shared" si="26"/>
        <v>2994895.180000036</v>
      </c>
      <c r="G178" s="175">
        <f t="shared" si="24"/>
        <v>16172.43</v>
      </c>
      <c r="H178" s="175"/>
      <c r="I178" s="195">
        <f t="shared" si="25"/>
        <v>173798.49</v>
      </c>
      <c r="J178" s="149"/>
      <c r="K178" s="152">
        <f t="shared" si="28"/>
        <v>38621.886666666665</v>
      </c>
      <c r="L178" s="185"/>
      <c r="M178" s="185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</row>
    <row r="179" spans="1:30" s="176" customFormat="1">
      <c r="A179" s="176">
        <f t="shared" si="22"/>
        <v>128</v>
      </c>
      <c r="B179" s="173">
        <f t="shared" si="23"/>
        <v>48060</v>
      </c>
      <c r="C179" s="173">
        <f t="shared" si="27"/>
        <v>48091</v>
      </c>
      <c r="D179" s="173"/>
      <c r="E179" s="174">
        <f t="shared" si="29"/>
        <v>157626.06</v>
      </c>
      <c r="F179" s="174">
        <f t="shared" si="26"/>
        <v>2837269.120000036</v>
      </c>
      <c r="G179" s="175">
        <f t="shared" si="24"/>
        <v>15831.96</v>
      </c>
      <c r="H179" s="175"/>
      <c r="I179" s="195">
        <f t="shared" si="25"/>
        <v>173458.02</v>
      </c>
      <c r="J179" s="149"/>
      <c r="K179" s="152">
        <f t="shared" si="28"/>
        <v>38546.226666666662</v>
      </c>
      <c r="L179" s="185"/>
      <c r="M179" s="185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</row>
    <row r="180" spans="1:30" s="176" customFormat="1">
      <c r="A180" s="176">
        <f t="shared" si="22"/>
        <v>129</v>
      </c>
      <c r="B180" s="173">
        <f t="shared" si="23"/>
        <v>48091</v>
      </c>
      <c r="C180" s="173">
        <f t="shared" si="27"/>
        <v>48121</v>
      </c>
      <c r="D180" s="173"/>
      <c r="E180" s="174">
        <f t="shared" si="29"/>
        <v>157626.06</v>
      </c>
      <c r="F180" s="174">
        <f t="shared" si="26"/>
        <v>2679643.0600000359</v>
      </c>
      <c r="G180" s="175">
        <f t="shared" si="24"/>
        <v>14952.41</v>
      </c>
      <c r="H180" s="175"/>
      <c r="I180" s="195">
        <f t="shared" si="25"/>
        <v>172578.47</v>
      </c>
      <c r="J180" s="149"/>
      <c r="K180" s="152">
        <f t="shared" si="28"/>
        <v>38350.771111111113</v>
      </c>
      <c r="L180" s="185"/>
      <c r="M180" s="185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</row>
    <row r="181" spans="1:30" s="176" customFormat="1">
      <c r="A181" s="176">
        <f t="shared" si="22"/>
        <v>130</v>
      </c>
      <c r="B181" s="173">
        <f t="shared" si="23"/>
        <v>48121</v>
      </c>
      <c r="C181" s="173">
        <f t="shared" si="27"/>
        <v>48152</v>
      </c>
      <c r="D181" s="173"/>
      <c r="E181" s="174">
        <f t="shared" si="29"/>
        <v>157626.06</v>
      </c>
      <c r="F181" s="174">
        <f t="shared" si="26"/>
        <v>2522017.0000000359</v>
      </c>
      <c r="G181" s="175">
        <f t="shared" si="24"/>
        <v>13618.89</v>
      </c>
      <c r="H181" s="175"/>
      <c r="I181" s="195">
        <f t="shared" si="25"/>
        <v>171244.95</v>
      </c>
      <c r="J181" s="149"/>
      <c r="K181" s="152">
        <f t="shared" si="28"/>
        <v>38054.433333333334</v>
      </c>
      <c r="L181" s="185"/>
      <c r="M181" s="185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</row>
    <row r="182" spans="1:30" s="176" customFormat="1">
      <c r="A182" s="176">
        <f t="shared" si="22"/>
        <v>131</v>
      </c>
      <c r="B182" s="173">
        <f t="shared" si="23"/>
        <v>48152</v>
      </c>
      <c r="C182" s="173">
        <f t="shared" si="27"/>
        <v>48182</v>
      </c>
      <c r="D182" s="173"/>
      <c r="E182" s="174">
        <f t="shared" si="29"/>
        <v>157626.06</v>
      </c>
      <c r="F182" s="174">
        <f t="shared" si="26"/>
        <v>2364390.9400000358</v>
      </c>
      <c r="G182" s="175">
        <f t="shared" si="24"/>
        <v>13193.3</v>
      </c>
      <c r="H182" s="175"/>
      <c r="I182" s="195">
        <f t="shared" si="25"/>
        <v>170819.36</v>
      </c>
      <c r="J182" s="149"/>
      <c r="K182" s="152">
        <f t="shared" si="28"/>
        <v>37959.857777777775</v>
      </c>
      <c r="L182" s="185"/>
      <c r="M182" s="185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</row>
    <row r="183" spans="1:30" s="176" customFormat="1">
      <c r="A183" s="176">
        <f t="shared" ref="A183:A196" si="30">A182+1</f>
        <v>132</v>
      </c>
      <c r="B183" s="173">
        <f t="shared" si="23"/>
        <v>48182</v>
      </c>
      <c r="C183" s="173">
        <f t="shared" si="27"/>
        <v>48213</v>
      </c>
      <c r="D183" s="173"/>
      <c r="E183" s="174">
        <f t="shared" si="29"/>
        <v>157626.06</v>
      </c>
      <c r="F183" s="174">
        <f t="shared" si="26"/>
        <v>2206764.8800000357</v>
      </c>
      <c r="G183" s="175">
        <f t="shared" si="24"/>
        <v>11916.53</v>
      </c>
      <c r="H183" s="175"/>
      <c r="I183" s="195">
        <f t="shared" si="25"/>
        <v>169542.59</v>
      </c>
      <c r="J183" s="149"/>
      <c r="K183" s="152">
        <f t="shared" si="28"/>
        <v>37676.131111111114</v>
      </c>
      <c r="L183" s="185"/>
      <c r="M183" s="185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</row>
    <row r="184" spans="1:30" s="171" customFormat="1">
      <c r="A184" s="171">
        <f t="shared" si="30"/>
        <v>133</v>
      </c>
      <c r="B184" s="168">
        <f t="shared" si="23"/>
        <v>48213</v>
      </c>
      <c r="C184" s="168">
        <f t="shared" si="27"/>
        <v>48244</v>
      </c>
      <c r="D184" s="168"/>
      <c r="E184" s="169">
        <f t="shared" si="29"/>
        <v>157626.06</v>
      </c>
      <c r="F184" s="169">
        <f t="shared" si="26"/>
        <v>2049138.8200000357</v>
      </c>
      <c r="G184" s="170">
        <f t="shared" si="24"/>
        <v>11434.19</v>
      </c>
      <c r="H184" s="170"/>
      <c r="I184" s="194">
        <f t="shared" si="25"/>
        <v>169060.25</v>
      </c>
      <c r="K184" s="172">
        <f t="shared" si="28"/>
        <v>37568.944444444445</v>
      </c>
      <c r="L184" s="172">
        <f>SUM(E173:E184)</f>
        <v>1891512.7200000004</v>
      </c>
      <c r="M184" s="172">
        <f>SUM(G173:G184)</f>
        <v>191317.04999999996</v>
      </c>
    </row>
    <row r="185" spans="1:30" s="176" customFormat="1">
      <c r="A185" s="176">
        <f t="shared" si="30"/>
        <v>134</v>
      </c>
      <c r="B185" s="173">
        <f t="shared" si="23"/>
        <v>48244</v>
      </c>
      <c r="C185" s="173">
        <f t="shared" si="27"/>
        <v>48273</v>
      </c>
      <c r="D185" s="173"/>
      <c r="E185" s="174">
        <f t="shared" si="29"/>
        <v>157626.06</v>
      </c>
      <c r="F185" s="174">
        <f t="shared" si="26"/>
        <v>1891512.7600000356</v>
      </c>
      <c r="G185" s="175">
        <f t="shared" si="24"/>
        <v>10554.64</v>
      </c>
      <c r="H185" s="175"/>
      <c r="I185" s="195">
        <f t="shared" si="25"/>
        <v>168180.7</v>
      </c>
      <c r="J185" s="149"/>
      <c r="K185" s="152">
        <f t="shared" si="28"/>
        <v>37373.488888888889</v>
      </c>
      <c r="L185" s="185"/>
      <c r="M185" s="185"/>
      <c r="N185" s="152"/>
      <c r="O185" s="152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</row>
    <row r="186" spans="1:30" s="176" customFormat="1">
      <c r="A186" s="176">
        <f t="shared" si="30"/>
        <v>135</v>
      </c>
      <c r="B186" s="173">
        <f t="shared" si="23"/>
        <v>48273</v>
      </c>
      <c r="C186" s="173">
        <f t="shared" si="27"/>
        <v>48304</v>
      </c>
      <c r="D186" s="173"/>
      <c r="E186" s="174">
        <f t="shared" si="29"/>
        <v>157626.06</v>
      </c>
      <c r="F186" s="174">
        <f t="shared" si="26"/>
        <v>1733886.7000000356</v>
      </c>
      <c r="G186" s="175">
        <f t="shared" si="24"/>
        <v>9050.89</v>
      </c>
      <c r="H186" s="175"/>
      <c r="I186" s="195">
        <f t="shared" si="25"/>
        <v>166676.95000000001</v>
      </c>
      <c r="J186" s="149"/>
      <c r="K186" s="152">
        <f t="shared" si="28"/>
        <v>37039.322222222225</v>
      </c>
      <c r="L186" s="185"/>
      <c r="M186" s="185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</row>
    <row r="187" spans="1:30" s="176" customFormat="1">
      <c r="A187" s="176">
        <f t="shared" si="30"/>
        <v>136</v>
      </c>
      <c r="B187" s="173">
        <f t="shared" si="23"/>
        <v>48304</v>
      </c>
      <c r="C187" s="173">
        <f t="shared" si="27"/>
        <v>48334</v>
      </c>
      <c r="D187" s="173"/>
      <c r="E187" s="174">
        <f t="shared" si="29"/>
        <v>157626.06</v>
      </c>
      <c r="F187" s="174">
        <f t="shared" si="26"/>
        <v>1576260.6400000355</v>
      </c>
      <c r="G187" s="175">
        <f t="shared" si="24"/>
        <v>8795.5300000000007</v>
      </c>
      <c r="H187" s="175"/>
      <c r="I187" s="195">
        <f t="shared" si="25"/>
        <v>166421.59</v>
      </c>
      <c r="J187" s="149"/>
      <c r="K187" s="152">
        <f t="shared" si="28"/>
        <v>36982.575555555552</v>
      </c>
      <c r="L187" s="185"/>
      <c r="M187" s="185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</row>
    <row r="188" spans="1:30" s="176" customFormat="1">
      <c r="A188" s="176">
        <f t="shared" si="30"/>
        <v>137</v>
      </c>
      <c r="B188" s="173">
        <f t="shared" si="23"/>
        <v>48334</v>
      </c>
      <c r="C188" s="173">
        <f t="shared" si="27"/>
        <v>48365</v>
      </c>
      <c r="D188" s="173"/>
      <c r="E188" s="174">
        <f t="shared" si="29"/>
        <v>157626.06</v>
      </c>
      <c r="F188" s="174">
        <f t="shared" si="26"/>
        <v>1418634.5800000355</v>
      </c>
      <c r="G188" s="175">
        <f t="shared" si="24"/>
        <v>7660.63</v>
      </c>
      <c r="H188" s="175"/>
      <c r="I188" s="195">
        <f t="shared" si="25"/>
        <v>165286.69</v>
      </c>
      <c r="J188" s="149"/>
      <c r="K188" s="152">
        <f t="shared" si="28"/>
        <v>36730.375555555554</v>
      </c>
      <c r="L188" s="185"/>
      <c r="M188" s="185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</row>
    <row r="189" spans="1:30" s="176" customFormat="1">
      <c r="A189" s="176">
        <f t="shared" si="30"/>
        <v>138</v>
      </c>
      <c r="B189" s="173">
        <f t="shared" si="23"/>
        <v>48365</v>
      </c>
      <c r="C189" s="173">
        <f t="shared" si="27"/>
        <v>48395</v>
      </c>
      <c r="D189" s="173"/>
      <c r="E189" s="174">
        <f t="shared" si="29"/>
        <v>157626.06</v>
      </c>
      <c r="F189" s="174">
        <f t="shared" si="26"/>
        <v>1261008.5200000354</v>
      </c>
      <c r="G189" s="175">
        <f t="shared" si="24"/>
        <v>7036.43</v>
      </c>
      <c r="H189" s="175"/>
      <c r="I189" s="195">
        <f t="shared" si="25"/>
        <v>164662.49</v>
      </c>
      <c r="J189" s="149"/>
      <c r="K189" s="152">
        <f t="shared" si="28"/>
        <v>36591.664444444439</v>
      </c>
      <c r="L189" s="185"/>
      <c r="M189" s="185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</row>
    <row r="190" spans="1:30" s="176" customFormat="1">
      <c r="A190" s="176">
        <f t="shared" si="30"/>
        <v>139</v>
      </c>
      <c r="B190" s="173">
        <f t="shared" si="23"/>
        <v>48395</v>
      </c>
      <c r="C190" s="173">
        <f t="shared" si="27"/>
        <v>48426</v>
      </c>
      <c r="D190" s="173"/>
      <c r="E190" s="174">
        <f t="shared" si="29"/>
        <v>157626.06</v>
      </c>
      <c r="F190" s="174">
        <f t="shared" si="26"/>
        <v>1103382.4600000354</v>
      </c>
      <c r="G190" s="175">
        <f t="shared" si="24"/>
        <v>5958.27</v>
      </c>
      <c r="H190" s="175"/>
      <c r="I190" s="195">
        <f t="shared" si="25"/>
        <v>163584.32999999999</v>
      </c>
      <c r="J190" s="149"/>
      <c r="K190" s="152">
        <f t="shared" si="28"/>
        <v>36352.073333333334</v>
      </c>
      <c r="L190" s="185"/>
      <c r="M190" s="185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</row>
    <row r="191" spans="1:30" s="176" customFormat="1">
      <c r="A191" s="176">
        <f t="shared" si="30"/>
        <v>140</v>
      </c>
      <c r="B191" s="173">
        <f t="shared" si="23"/>
        <v>48426</v>
      </c>
      <c r="C191" s="173">
        <f t="shared" si="27"/>
        <v>48457</v>
      </c>
      <c r="D191" s="173"/>
      <c r="E191" s="174">
        <f t="shared" si="29"/>
        <v>157626.06</v>
      </c>
      <c r="F191" s="174">
        <f t="shared" si="26"/>
        <v>945756.4000000353</v>
      </c>
      <c r="G191" s="175">
        <f t="shared" si="24"/>
        <v>5277.32</v>
      </c>
      <c r="H191" s="175"/>
      <c r="I191" s="195">
        <f t="shared" si="25"/>
        <v>162903.38</v>
      </c>
      <c r="J191" s="149"/>
      <c r="K191" s="152">
        <f t="shared" si="28"/>
        <v>36200.751111111109</v>
      </c>
      <c r="L191" s="185"/>
      <c r="M191" s="185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</row>
    <row r="192" spans="1:30" s="176" customFormat="1">
      <c r="A192" s="176">
        <f t="shared" si="30"/>
        <v>141</v>
      </c>
      <c r="B192" s="173">
        <f t="shared" si="23"/>
        <v>48457</v>
      </c>
      <c r="C192" s="173">
        <f t="shared" si="27"/>
        <v>48487</v>
      </c>
      <c r="D192" s="173"/>
      <c r="E192" s="174">
        <f t="shared" si="29"/>
        <v>157626.06</v>
      </c>
      <c r="F192" s="174">
        <f t="shared" si="26"/>
        <v>788130.34000003524</v>
      </c>
      <c r="G192" s="175">
        <f t="shared" si="24"/>
        <v>4397.7700000000004</v>
      </c>
      <c r="H192" s="175"/>
      <c r="I192" s="195">
        <f t="shared" si="25"/>
        <v>162023.82999999999</v>
      </c>
      <c r="J192" s="149"/>
      <c r="K192" s="152">
        <f t="shared" si="28"/>
        <v>36005.295555555553</v>
      </c>
      <c r="L192" s="185"/>
      <c r="M192" s="185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</row>
    <row r="193" spans="1:30" s="176" customFormat="1">
      <c r="A193" s="176">
        <f t="shared" si="30"/>
        <v>142</v>
      </c>
      <c r="B193" s="173">
        <f t="shared" si="23"/>
        <v>48487</v>
      </c>
      <c r="C193" s="173">
        <f t="shared" si="27"/>
        <v>48518</v>
      </c>
      <c r="D193" s="173"/>
      <c r="E193" s="174">
        <f t="shared" si="29"/>
        <v>157626.06</v>
      </c>
      <c r="F193" s="174">
        <f t="shared" si="26"/>
        <v>630504.28000003519</v>
      </c>
      <c r="G193" s="175">
        <f t="shared" si="24"/>
        <v>3404.72</v>
      </c>
      <c r="H193" s="175"/>
      <c r="I193" s="195">
        <f t="shared" si="25"/>
        <v>161030.78</v>
      </c>
      <c r="J193" s="149"/>
      <c r="K193" s="152">
        <f t="shared" si="28"/>
        <v>35784.617777777778</v>
      </c>
      <c r="L193" s="185"/>
      <c r="M193" s="185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</row>
    <row r="194" spans="1:30" s="176" customFormat="1">
      <c r="A194" s="176">
        <f t="shared" si="30"/>
        <v>143</v>
      </c>
      <c r="B194" s="173">
        <f t="shared" si="23"/>
        <v>48518</v>
      </c>
      <c r="C194" s="173" t="e">
        <f>#REF!</f>
        <v>#REF!</v>
      </c>
      <c r="D194" s="173"/>
      <c r="E194" s="174">
        <f t="shared" si="29"/>
        <v>157626.06</v>
      </c>
      <c r="F194" s="174">
        <f>F193-E193+D193</f>
        <v>472878.22000003519</v>
      </c>
      <c r="G194" s="175">
        <f t="shared" si="24"/>
        <v>2638.66</v>
      </c>
      <c r="H194" s="175"/>
      <c r="I194" s="195">
        <f t="shared" si="25"/>
        <v>160264.72</v>
      </c>
      <c r="J194" s="149"/>
      <c r="K194" s="152">
        <f t="shared" si="28"/>
        <v>35614.382222222222</v>
      </c>
      <c r="L194" s="172">
        <f>SUM(E185:E196)</f>
        <v>1891512.7600000005</v>
      </c>
      <c r="M194" s="172">
        <f>SUM(G185:G196)</f>
        <v>67356.77</v>
      </c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</row>
    <row r="195" spans="1:30" s="176" customFormat="1">
      <c r="A195" s="176">
        <f t="shared" si="30"/>
        <v>144</v>
      </c>
      <c r="B195" s="173">
        <f t="shared" si="23"/>
        <v>48548</v>
      </c>
      <c r="C195" s="173" t="e">
        <f>#REF!</f>
        <v>#REF!</v>
      </c>
      <c r="D195" s="173"/>
      <c r="E195" s="174">
        <f t="shared" si="29"/>
        <v>157626.06</v>
      </c>
      <c r="F195" s="174">
        <f t="shared" ref="F195:F196" si="31">F194-E194+D194</f>
        <v>315252.16000003519</v>
      </c>
      <c r="G195" s="175">
        <f t="shared" ref="G195:G196" si="32">ROUND((B195-B194)*$E$8*F195/360,2)</f>
        <v>1702.36</v>
      </c>
      <c r="H195" s="175"/>
      <c r="I195" s="195">
        <f t="shared" ref="I195:I196" si="33">E195+G195</f>
        <v>159328.41999999998</v>
      </c>
      <c r="J195" s="149"/>
      <c r="K195" s="152"/>
      <c r="L195" s="172"/>
      <c r="M195" s="172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</row>
    <row r="196" spans="1:30" s="176" customFormat="1">
      <c r="A196" s="176">
        <f t="shared" si="30"/>
        <v>145</v>
      </c>
      <c r="B196" s="173">
        <f t="shared" si="23"/>
        <v>48579</v>
      </c>
      <c r="C196" s="173" t="e">
        <f>#REF!</f>
        <v>#REF!</v>
      </c>
      <c r="D196" s="173"/>
      <c r="E196" s="174">
        <f>E195+0.04</f>
        <v>157626.1</v>
      </c>
      <c r="F196" s="174">
        <f t="shared" si="31"/>
        <v>157626.10000003519</v>
      </c>
      <c r="G196" s="175">
        <f t="shared" si="32"/>
        <v>879.55</v>
      </c>
      <c r="H196" s="175"/>
      <c r="I196" s="195">
        <f t="shared" si="33"/>
        <v>158505.65</v>
      </c>
      <c r="J196" s="149"/>
      <c r="K196" s="152"/>
      <c r="L196" s="172"/>
      <c r="M196" s="172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</row>
    <row r="197" spans="1:30" s="176" customFormat="1">
      <c r="B197" s="178" t="s">
        <v>32</v>
      </c>
      <c r="C197" s="178"/>
      <c r="D197" s="216">
        <f>SUM(D17:D52)</f>
        <v>22855778.740000002</v>
      </c>
      <c r="E197" s="179">
        <f>SUM(E29:E196)</f>
        <v>22855778.739999969</v>
      </c>
      <c r="F197" s="179"/>
      <c r="G197" s="179">
        <f>SUM(G17:G196)</f>
        <v>10378692.860000007</v>
      </c>
      <c r="H197" s="179"/>
      <c r="I197" s="179">
        <f>SUM(I19:I196)</f>
        <v>33234471.600000001</v>
      </c>
      <c r="J197" s="149"/>
      <c r="K197" s="152">
        <f t="shared" si="28"/>
        <v>7385438.1333333338</v>
      </c>
      <c r="L197" s="172">
        <f>SUM(L28:L194)</f>
        <v>22855778.740000002</v>
      </c>
      <c r="M197" s="172">
        <f>SUM(M28:M194)</f>
        <v>10378692.859999999</v>
      </c>
      <c r="N197" s="152"/>
      <c r="O197" s="152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</row>
    <row r="198" spans="1:30" s="176" customFormat="1">
      <c r="B198" s="180" t="s">
        <v>97</v>
      </c>
      <c r="C198" s="181"/>
      <c r="D198" s="181"/>
      <c r="E198" s="177"/>
      <c r="F198" s="177"/>
      <c r="G198" s="182"/>
      <c r="H198" s="182"/>
      <c r="I198" s="177"/>
      <c r="J198" s="149"/>
      <c r="K198" s="152"/>
      <c r="L198" s="149"/>
      <c r="M198" s="152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</row>
    <row r="199" spans="1:30" s="201" customFormat="1">
      <c r="B199" s="196" t="s">
        <v>85</v>
      </c>
      <c r="C199" s="196"/>
      <c r="D199" s="196"/>
      <c r="E199" s="197"/>
      <c r="F199" s="197"/>
      <c r="G199" s="198"/>
      <c r="H199" s="198"/>
      <c r="I199" s="197"/>
      <c r="J199" s="199"/>
      <c r="K199" s="200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  <c r="Z199" s="199"/>
      <c r="AA199" s="199"/>
      <c r="AB199" s="199"/>
      <c r="AC199" s="199"/>
      <c r="AD199" s="199"/>
    </row>
    <row r="200" spans="1:30" s="201" customFormat="1">
      <c r="B200" s="196" t="s">
        <v>86</v>
      </c>
      <c r="C200" s="196"/>
      <c r="D200" s="196"/>
      <c r="E200" s="197"/>
      <c r="F200" s="197"/>
      <c r="G200" s="198"/>
      <c r="H200" s="198"/>
      <c r="I200" s="197"/>
      <c r="J200" s="199"/>
      <c r="K200" s="200"/>
      <c r="L200" s="199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199"/>
      <c r="AA200" s="199"/>
      <c r="AB200" s="199"/>
      <c r="AC200" s="199"/>
      <c r="AD200" s="199"/>
    </row>
    <row r="201" spans="1:30" s="176" customFormat="1">
      <c r="B201" s="181"/>
      <c r="C201" s="181"/>
      <c r="D201" s="181"/>
      <c r="E201" s="177"/>
      <c r="F201" s="177"/>
      <c r="G201" s="182"/>
      <c r="H201" s="182"/>
      <c r="I201" s="177"/>
      <c r="J201" s="149"/>
      <c r="K201" s="152"/>
      <c r="L201" s="187"/>
      <c r="M201" s="187"/>
      <c r="N201" s="187"/>
      <c r="O201" s="187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</row>
    <row r="202" spans="1:30" s="176" customFormat="1">
      <c r="B202" s="181"/>
      <c r="C202" s="181"/>
      <c r="D202" s="181"/>
      <c r="E202" s="177"/>
      <c r="F202" s="177"/>
      <c r="G202" s="182"/>
      <c r="H202" s="182"/>
      <c r="I202" s="177"/>
      <c r="J202" s="149"/>
      <c r="K202" s="152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</row>
    <row r="203" spans="1:30" s="176" customFormat="1">
      <c r="B203" s="181"/>
      <c r="C203" s="181"/>
      <c r="D203" s="181"/>
      <c r="E203" s="177"/>
      <c r="F203" s="177"/>
      <c r="G203" s="182"/>
      <c r="H203" s="182"/>
      <c r="I203" s="177"/>
      <c r="J203" s="149"/>
      <c r="K203" s="152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</row>
    <row r="204" spans="1:30" s="176" customFormat="1">
      <c r="B204" s="181"/>
      <c r="C204" s="181"/>
      <c r="D204" s="181"/>
      <c r="E204" s="177"/>
      <c r="F204" s="177"/>
      <c r="G204" s="182"/>
      <c r="H204" s="182"/>
      <c r="I204" s="177"/>
      <c r="J204" s="149"/>
      <c r="K204" s="152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</row>
    <row r="205" spans="1:30" s="176" customFormat="1">
      <c r="B205" s="181"/>
      <c r="C205" s="181"/>
      <c r="D205" s="181"/>
      <c r="E205" s="177"/>
      <c r="F205" s="177"/>
      <c r="G205" s="182"/>
      <c r="H205" s="182"/>
      <c r="I205" s="177"/>
      <c r="J205" s="149"/>
      <c r="K205" s="152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</row>
    <row r="206" spans="1:30" s="176" customFormat="1">
      <c r="B206" s="181"/>
      <c r="C206" s="181"/>
      <c r="D206" s="181"/>
      <c r="E206" s="177"/>
      <c r="F206" s="177"/>
      <c r="G206" s="182"/>
      <c r="H206" s="182"/>
      <c r="I206" s="177"/>
      <c r="J206" s="149"/>
      <c r="K206" s="152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</row>
    <row r="207" spans="1:30" s="176" customFormat="1">
      <c r="B207" s="181"/>
      <c r="C207" s="181"/>
      <c r="D207" s="181"/>
      <c r="E207" s="177"/>
      <c r="F207" s="177"/>
      <c r="G207" s="182"/>
      <c r="H207" s="182"/>
      <c r="I207" s="177"/>
      <c r="J207" s="149"/>
      <c r="K207" s="152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</row>
    <row r="208" spans="1:30" s="176" customFormat="1">
      <c r="B208" s="181"/>
      <c r="C208" s="181"/>
      <c r="D208" s="181"/>
      <c r="E208" s="177"/>
      <c r="F208" s="177"/>
      <c r="G208" s="182"/>
      <c r="H208" s="182"/>
      <c r="I208" s="177"/>
      <c r="J208" s="149"/>
      <c r="K208" s="152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</row>
    <row r="209" spans="2:30" s="176" customFormat="1">
      <c r="B209" s="181"/>
      <c r="C209" s="181"/>
      <c r="D209" s="181"/>
      <c r="E209" s="177"/>
      <c r="F209" s="177"/>
      <c r="G209" s="182"/>
      <c r="H209" s="182"/>
      <c r="I209" s="177"/>
      <c r="J209" s="149"/>
      <c r="K209" s="152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</row>
    <row r="210" spans="2:30" s="176" customFormat="1">
      <c r="B210" s="181"/>
      <c r="C210" s="181"/>
      <c r="D210" s="181"/>
      <c r="E210" s="177"/>
      <c r="F210" s="177"/>
      <c r="G210" s="182"/>
      <c r="H210" s="182"/>
      <c r="I210" s="177"/>
      <c r="J210" s="149"/>
      <c r="K210" s="152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</row>
    <row r="211" spans="2:30" s="176" customFormat="1">
      <c r="B211" s="181"/>
      <c r="C211" s="181"/>
      <c r="D211" s="181"/>
      <c r="E211" s="177"/>
      <c r="F211" s="177"/>
      <c r="G211" s="182"/>
      <c r="H211" s="182"/>
      <c r="I211" s="177"/>
      <c r="J211" s="149"/>
      <c r="K211" s="152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</row>
    <row r="212" spans="2:30" s="176" customFormat="1">
      <c r="B212" s="181"/>
      <c r="C212" s="181"/>
      <c r="D212" s="181"/>
      <c r="E212" s="177"/>
      <c r="F212" s="177"/>
      <c r="G212" s="182"/>
      <c r="H212" s="182"/>
      <c r="I212" s="177"/>
      <c r="J212" s="149"/>
      <c r="K212" s="152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</row>
    <row r="213" spans="2:30" s="176" customFormat="1">
      <c r="B213" s="181"/>
      <c r="C213" s="181"/>
      <c r="D213" s="181"/>
      <c r="E213" s="177"/>
      <c r="F213" s="177"/>
      <c r="G213" s="182"/>
      <c r="H213" s="182"/>
      <c r="I213" s="177"/>
      <c r="J213" s="149"/>
      <c r="K213" s="152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</row>
    <row r="214" spans="2:30" s="176" customFormat="1">
      <c r="B214" s="181"/>
      <c r="C214" s="181"/>
      <c r="D214" s="181"/>
      <c r="E214" s="177"/>
      <c r="F214" s="177"/>
      <c r="G214" s="182"/>
      <c r="H214" s="182"/>
      <c r="I214" s="177"/>
      <c r="J214" s="149"/>
      <c r="K214" s="152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</row>
    <row r="215" spans="2:30" s="176" customFormat="1">
      <c r="B215" s="181"/>
      <c r="C215" s="181"/>
      <c r="D215" s="181"/>
      <c r="E215" s="177"/>
      <c r="F215" s="177"/>
      <c r="G215" s="182"/>
      <c r="H215" s="182"/>
      <c r="I215" s="177"/>
      <c r="J215" s="149"/>
      <c r="K215" s="152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</row>
    <row r="216" spans="2:30" s="176" customFormat="1">
      <c r="B216" s="181"/>
      <c r="C216" s="181"/>
      <c r="D216" s="181"/>
      <c r="E216" s="177"/>
      <c r="F216" s="177"/>
      <c r="G216" s="182"/>
      <c r="H216" s="182"/>
      <c r="I216" s="177"/>
      <c r="J216" s="149"/>
      <c r="K216" s="152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</row>
    <row r="217" spans="2:30" s="176" customFormat="1">
      <c r="B217" s="181"/>
      <c r="C217" s="181"/>
      <c r="D217" s="181"/>
      <c r="E217" s="177"/>
      <c r="F217" s="177"/>
      <c r="G217" s="182"/>
      <c r="H217" s="182"/>
      <c r="I217" s="177"/>
      <c r="J217" s="149"/>
      <c r="K217" s="152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</row>
    <row r="218" spans="2:30" s="176" customFormat="1">
      <c r="B218" s="181"/>
      <c r="C218" s="181"/>
      <c r="D218" s="181"/>
      <c r="E218" s="177"/>
      <c r="F218" s="177"/>
      <c r="G218" s="182"/>
      <c r="H218" s="182"/>
      <c r="I218" s="177"/>
      <c r="J218" s="149"/>
      <c r="K218" s="152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</row>
    <row r="219" spans="2:30" s="176" customFormat="1">
      <c r="B219" s="181"/>
      <c r="C219" s="181"/>
      <c r="D219" s="181"/>
      <c r="E219" s="177"/>
      <c r="F219" s="177"/>
      <c r="G219" s="182"/>
      <c r="H219" s="182"/>
      <c r="I219" s="177"/>
      <c r="J219" s="149"/>
      <c r="K219" s="152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</row>
    <row r="220" spans="2:30" s="176" customFormat="1">
      <c r="B220" s="181"/>
      <c r="C220" s="181"/>
      <c r="D220" s="181"/>
      <c r="E220" s="177"/>
      <c r="F220" s="177"/>
      <c r="G220" s="182"/>
      <c r="H220" s="182"/>
      <c r="I220" s="177"/>
      <c r="J220" s="149"/>
      <c r="K220" s="152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</row>
    <row r="221" spans="2:30" s="176" customFormat="1">
      <c r="B221" s="181"/>
      <c r="C221" s="181"/>
      <c r="D221" s="181"/>
      <c r="E221" s="177"/>
      <c r="F221" s="177"/>
      <c r="G221" s="182"/>
      <c r="H221" s="182"/>
      <c r="I221" s="177"/>
      <c r="J221" s="149"/>
      <c r="K221" s="152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</row>
    <row r="222" spans="2:30" s="176" customFormat="1">
      <c r="B222" s="181"/>
      <c r="C222" s="181"/>
      <c r="D222" s="181"/>
      <c r="E222" s="177"/>
      <c r="F222" s="177"/>
      <c r="G222" s="182"/>
      <c r="H222" s="182"/>
      <c r="I222" s="177"/>
      <c r="J222" s="149"/>
      <c r="K222" s="152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</row>
    <row r="223" spans="2:30" s="176" customFormat="1">
      <c r="B223" s="181"/>
      <c r="C223" s="181"/>
      <c r="D223" s="181"/>
      <c r="E223" s="177"/>
      <c r="F223" s="177"/>
      <c r="G223" s="182"/>
      <c r="H223" s="182"/>
      <c r="I223" s="177"/>
      <c r="J223" s="149"/>
      <c r="K223" s="152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</row>
    <row r="224" spans="2:30" s="176" customFormat="1">
      <c r="B224" s="181"/>
      <c r="C224" s="181"/>
      <c r="D224" s="181"/>
      <c r="E224" s="177"/>
      <c r="F224" s="177"/>
      <c r="G224" s="182"/>
      <c r="H224" s="182"/>
      <c r="I224" s="177"/>
      <c r="J224" s="149"/>
      <c r="K224" s="152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</row>
    <row r="225" spans="2:30" s="176" customFormat="1">
      <c r="B225" s="181"/>
      <c r="C225" s="181"/>
      <c r="D225" s="181"/>
      <c r="E225" s="177"/>
      <c r="F225" s="177"/>
      <c r="G225" s="182"/>
      <c r="H225" s="182"/>
      <c r="I225" s="177"/>
      <c r="J225" s="149"/>
      <c r="K225" s="152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</row>
    <row r="226" spans="2:30" s="176" customFormat="1">
      <c r="B226" s="181"/>
      <c r="C226" s="181"/>
      <c r="D226" s="181"/>
      <c r="E226" s="177"/>
      <c r="F226" s="177"/>
      <c r="G226" s="182"/>
      <c r="H226" s="182"/>
      <c r="I226" s="177"/>
      <c r="J226" s="149"/>
      <c r="K226" s="152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</row>
    <row r="227" spans="2:30" s="176" customFormat="1">
      <c r="B227" s="181"/>
      <c r="C227" s="181"/>
      <c r="D227" s="181"/>
      <c r="E227" s="177"/>
      <c r="F227" s="177"/>
      <c r="G227" s="182"/>
      <c r="H227" s="182"/>
      <c r="I227" s="177"/>
      <c r="J227" s="149"/>
      <c r="K227" s="152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</row>
    <row r="228" spans="2:30" s="176" customFormat="1">
      <c r="B228" s="181"/>
      <c r="C228" s="181"/>
      <c r="D228" s="181"/>
      <c r="E228" s="177"/>
      <c r="F228" s="177"/>
      <c r="G228" s="182"/>
      <c r="H228" s="182"/>
      <c r="I228" s="177"/>
      <c r="J228" s="149"/>
      <c r="K228" s="152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</row>
    <row r="229" spans="2:30" s="176" customFormat="1">
      <c r="B229" s="181"/>
      <c r="C229" s="181"/>
      <c r="D229" s="181"/>
      <c r="E229" s="177"/>
      <c r="F229" s="177"/>
      <c r="G229" s="182"/>
      <c r="H229" s="182"/>
      <c r="I229" s="177"/>
      <c r="J229" s="149"/>
      <c r="K229" s="152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</row>
    <row r="230" spans="2:30" s="176" customFormat="1">
      <c r="B230" s="181"/>
      <c r="C230" s="181"/>
      <c r="D230" s="181"/>
      <c r="E230" s="177"/>
      <c r="F230" s="177"/>
      <c r="G230" s="182"/>
      <c r="H230" s="182"/>
      <c r="I230" s="177"/>
      <c r="J230" s="149"/>
      <c r="K230" s="152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</row>
    <row r="231" spans="2:30" s="176" customFormat="1">
      <c r="B231" s="181"/>
      <c r="C231" s="181"/>
      <c r="D231" s="181"/>
      <c r="E231" s="177"/>
      <c r="F231" s="177"/>
      <c r="G231" s="182"/>
      <c r="H231" s="182"/>
      <c r="I231" s="177"/>
      <c r="J231" s="149"/>
      <c r="K231" s="152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</row>
    <row r="232" spans="2:30" s="176" customFormat="1">
      <c r="B232" s="181"/>
      <c r="C232" s="181"/>
      <c r="D232" s="181"/>
      <c r="E232" s="177"/>
      <c r="F232" s="177"/>
      <c r="G232" s="182"/>
      <c r="H232" s="182"/>
      <c r="I232" s="177"/>
      <c r="J232" s="149"/>
      <c r="K232" s="152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</row>
    <row r="233" spans="2:30" s="176" customFormat="1">
      <c r="B233" s="181"/>
      <c r="C233" s="181"/>
      <c r="D233" s="181"/>
      <c r="E233" s="177"/>
      <c r="F233" s="177"/>
      <c r="G233" s="182"/>
      <c r="H233" s="182"/>
      <c r="I233" s="177"/>
      <c r="J233" s="149"/>
      <c r="K233" s="152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</row>
    <row r="234" spans="2:30" s="176" customFormat="1">
      <c r="B234" s="181"/>
      <c r="C234" s="181"/>
      <c r="D234" s="181"/>
      <c r="E234" s="177"/>
      <c r="F234" s="177"/>
      <c r="G234" s="182"/>
      <c r="H234" s="182"/>
      <c r="I234" s="177"/>
      <c r="J234" s="149"/>
      <c r="K234" s="152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</row>
    <row r="235" spans="2:30" s="176" customFormat="1">
      <c r="B235" s="181"/>
      <c r="C235" s="181"/>
      <c r="D235" s="181"/>
      <c r="E235" s="177"/>
      <c r="F235" s="177"/>
      <c r="G235" s="182"/>
      <c r="H235" s="182"/>
      <c r="I235" s="177"/>
      <c r="J235" s="149"/>
      <c r="K235" s="152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</row>
    <row r="236" spans="2:30" s="176" customFormat="1">
      <c r="B236" s="181"/>
      <c r="C236" s="181"/>
      <c r="D236" s="181"/>
      <c r="E236" s="177"/>
      <c r="F236" s="177"/>
      <c r="G236" s="182"/>
      <c r="H236" s="182"/>
      <c r="I236" s="177"/>
      <c r="J236" s="149"/>
      <c r="K236" s="152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</row>
    <row r="237" spans="2:30" s="176" customFormat="1">
      <c r="B237" s="181"/>
      <c r="C237" s="181"/>
      <c r="D237" s="181"/>
      <c r="E237" s="177"/>
      <c r="F237" s="177"/>
      <c r="G237" s="182"/>
      <c r="H237" s="182"/>
      <c r="I237" s="177"/>
      <c r="J237" s="149"/>
      <c r="K237" s="152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</row>
    <row r="238" spans="2:30" s="176" customFormat="1">
      <c r="B238" s="181"/>
      <c r="C238" s="181"/>
      <c r="D238" s="181"/>
      <c r="E238" s="177"/>
      <c r="F238" s="177"/>
      <c r="G238" s="182"/>
      <c r="H238" s="182"/>
      <c r="I238" s="177"/>
      <c r="J238" s="149"/>
      <c r="K238" s="152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</row>
    <row r="239" spans="2:30" s="176" customFormat="1">
      <c r="B239" s="181"/>
      <c r="C239" s="181"/>
      <c r="D239" s="181"/>
      <c r="E239" s="177"/>
      <c r="F239" s="177"/>
      <c r="G239" s="182"/>
      <c r="H239" s="182"/>
      <c r="I239" s="177"/>
      <c r="J239" s="149"/>
      <c r="K239" s="152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</row>
    <row r="240" spans="2:30" s="176" customFormat="1">
      <c r="B240" s="181"/>
      <c r="C240" s="181"/>
      <c r="D240" s="181"/>
      <c r="E240" s="177"/>
      <c r="F240" s="177"/>
      <c r="G240" s="182"/>
      <c r="H240" s="182"/>
      <c r="I240" s="177"/>
      <c r="J240" s="149"/>
      <c r="K240" s="152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</row>
    <row r="241" spans="2:30" s="176" customFormat="1">
      <c r="B241" s="181"/>
      <c r="C241" s="181"/>
      <c r="D241" s="181"/>
      <c r="E241" s="177"/>
      <c r="F241" s="177"/>
      <c r="G241" s="182"/>
      <c r="H241" s="182"/>
      <c r="I241" s="177"/>
      <c r="J241" s="149"/>
      <c r="K241" s="152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</row>
    <row r="242" spans="2:30" s="176" customFormat="1">
      <c r="B242" s="181"/>
      <c r="C242" s="181"/>
      <c r="D242" s="181"/>
      <c r="E242" s="177"/>
      <c r="F242" s="177"/>
      <c r="G242" s="182"/>
      <c r="H242" s="182"/>
      <c r="I242" s="177"/>
      <c r="J242" s="149"/>
      <c r="K242" s="152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</row>
    <row r="243" spans="2:30" s="176" customFormat="1">
      <c r="B243" s="181"/>
      <c r="C243" s="181"/>
      <c r="D243" s="181"/>
      <c r="E243" s="177"/>
      <c r="F243" s="177"/>
      <c r="G243" s="182"/>
      <c r="H243" s="182"/>
      <c r="I243" s="177"/>
      <c r="J243" s="149"/>
      <c r="K243" s="152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</row>
    <row r="244" spans="2:30" s="176" customFormat="1">
      <c r="B244" s="181"/>
      <c r="C244" s="181"/>
      <c r="D244" s="181"/>
      <c r="E244" s="177"/>
      <c r="F244" s="177"/>
      <c r="G244" s="182"/>
      <c r="H244" s="182"/>
      <c r="I244" s="177"/>
      <c r="J244" s="149"/>
      <c r="K244" s="152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</row>
    <row r="245" spans="2:30" s="176" customFormat="1">
      <c r="B245" s="181"/>
      <c r="C245" s="181"/>
      <c r="D245" s="181"/>
      <c r="E245" s="177"/>
      <c r="F245" s="177"/>
      <c r="G245" s="182"/>
      <c r="H245" s="182"/>
      <c r="I245" s="177"/>
      <c r="J245" s="149"/>
      <c r="K245" s="152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</row>
    <row r="246" spans="2:30" s="176" customFormat="1">
      <c r="B246" s="181"/>
      <c r="C246" s="181"/>
      <c r="D246" s="181"/>
      <c r="E246" s="177"/>
      <c r="F246" s="177"/>
      <c r="G246" s="182"/>
      <c r="H246" s="182"/>
      <c r="I246" s="177"/>
      <c r="J246" s="149"/>
      <c r="K246" s="152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</row>
    <row r="247" spans="2:30" s="176" customFormat="1">
      <c r="B247" s="181"/>
      <c r="C247" s="181"/>
      <c r="D247" s="181"/>
      <c r="E247" s="177"/>
      <c r="F247" s="177"/>
      <c r="G247" s="182"/>
      <c r="H247" s="182"/>
      <c r="I247" s="177"/>
      <c r="J247" s="149"/>
      <c r="K247" s="152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</row>
    <row r="248" spans="2:30" s="176" customFormat="1">
      <c r="B248" s="181"/>
      <c r="C248" s="181"/>
      <c r="D248" s="181"/>
      <c r="E248" s="177"/>
      <c r="F248" s="177"/>
      <c r="G248" s="182"/>
      <c r="H248" s="182"/>
      <c r="I248" s="177"/>
      <c r="J248" s="149"/>
      <c r="K248" s="152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</row>
    <row r="249" spans="2:30" s="176" customFormat="1">
      <c r="B249" s="181"/>
      <c r="C249" s="181"/>
      <c r="D249" s="181"/>
      <c r="E249" s="177"/>
      <c r="F249" s="177"/>
      <c r="G249" s="182"/>
      <c r="H249" s="182"/>
      <c r="I249" s="177"/>
      <c r="J249" s="149"/>
      <c r="K249" s="152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</row>
    <row r="250" spans="2:30" s="176" customFormat="1">
      <c r="B250" s="181"/>
      <c r="C250" s="181"/>
      <c r="D250" s="181"/>
      <c r="E250" s="177"/>
      <c r="F250" s="177"/>
      <c r="G250" s="182"/>
      <c r="H250" s="182"/>
      <c r="I250" s="177"/>
      <c r="J250" s="149"/>
      <c r="K250" s="152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</row>
    <row r="251" spans="2:30" s="176" customFormat="1">
      <c r="B251" s="181"/>
      <c r="C251" s="181"/>
      <c r="D251" s="181"/>
      <c r="E251" s="177"/>
      <c r="F251" s="177"/>
      <c r="G251" s="182"/>
      <c r="H251" s="182"/>
      <c r="I251" s="177"/>
      <c r="J251" s="149"/>
      <c r="K251" s="152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</row>
    <row r="252" spans="2:30" s="176" customFormat="1">
      <c r="B252" s="181"/>
      <c r="C252" s="181"/>
      <c r="D252" s="181"/>
      <c r="E252" s="177"/>
      <c r="F252" s="177"/>
      <c r="G252" s="182"/>
      <c r="H252" s="182"/>
      <c r="I252" s="177"/>
      <c r="J252" s="149"/>
      <c r="K252" s="152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</row>
    <row r="253" spans="2:30" s="176" customFormat="1">
      <c r="B253" s="181"/>
      <c r="C253" s="181"/>
      <c r="D253" s="181"/>
      <c r="E253" s="177"/>
      <c r="F253" s="177"/>
      <c r="G253" s="182"/>
      <c r="H253" s="182"/>
      <c r="I253" s="177"/>
      <c r="J253" s="149"/>
      <c r="K253" s="152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</row>
    <row r="254" spans="2:30" s="176" customFormat="1">
      <c r="B254" s="181"/>
      <c r="C254" s="181"/>
      <c r="D254" s="181"/>
      <c r="E254" s="177"/>
      <c r="F254" s="177"/>
      <c r="G254" s="182"/>
      <c r="H254" s="182"/>
      <c r="I254" s="177"/>
      <c r="J254" s="149"/>
      <c r="K254" s="152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</row>
    <row r="255" spans="2:30" s="176" customFormat="1">
      <c r="B255" s="181"/>
      <c r="C255" s="181"/>
      <c r="D255" s="181"/>
      <c r="E255" s="177"/>
      <c r="F255" s="177"/>
      <c r="G255" s="182"/>
      <c r="H255" s="182"/>
      <c r="I255" s="177"/>
      <c r="J255" s="149"/>
      <c r="K255" s="152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</row>
    <row r="256" spans="2:30" s="176" customFormat="1">
      <c r="B256" s="181"/>
      <c r="C256" s="181"/>
      <c r="D256" s="181"/>
      <c r="E256" s="177"/>
      <c r="F256" s="177"/>
      <c r="G256" s="182"/>
      <c r="H256" s="182"/>
      <c r="I256" s="177"/>
      <c r="J256" s="149"/>
      <c r="K256" s="152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</row>
    <row r="257" spans="2:30" s="176" customFormat="1">
      <c r="B257" s="181"/>
      <c r="C257" s="181"/>
      <c r="D257" s="181"/>
      <c r="E257" s="177"/>
      <c r="F257" s="177"/>
      <c r="G257" s="182"/>
      <c r="H257" s="182"/>
      <c r="I257" s="177"/>
      <c r="J257" s="149"/>
      <c r="K257" s="152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</row>
    <row r="258" spans="2:30" s="176" customFormat="1">
      <c r="B258" s="181"/>
      <c r="C258" s="181"/>
      <c r="D258" s="181"/>
      <c r="E258" s="177"/>
      <c r="F258" s="177"/>
      <c r="G258" s="182"/>
      <c r="H258" s="182"/>
      <c r="I258" s="177"/>
      <c r="J258" s="149"/>
      <c r="K258" s="152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</row>
    <row r="259" spans="2:30" s="176" customFormat="1">
      <c r="B259" s="181"/>
      <c r="C259" s="181"/>
      <c r="D259" s="181"/>
      <c r="E259" s="177"/>
      <c r="F259" s="177"/>
      <c r="G259" s="182"/>
      <c r="H259" s="182"/>
      <c r="I259" s="177"/>
      <c r="J259" s="149"/>
      <c r="K259" s="152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</row>
    <row r="260" spans="2:30" s="176" customFormat="1">
      <c r="B260" s="181"/>
      <c r="C260" s="181"/>
      <c r="D260" s="181"/>
      <c r="E260" s="177"/>
      <c r="F260" s="177"/>
      <c r="G260" s="182"/>
      <c r="H260" s="182"/>
      <c r="I260" s="177"/>
      <c r="J260" s="149"/>
      <c r="K260" s="152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</row>
    <row r="261" spans="2:30" s="176" customFormat="1">
      <c r="B261" s="181"/>
      <c r="C261" s="181"/>
      <c r="D261" s="181"/>
      <c r="E261" s="177"/>
      <c r="F261" s="177"/>
      <c r="G261" s="182"/>
      <c r="H261" s="182"/>
      <c r="I261" s="177"/>
      <c r="J261" s="149"/>
      <c r="K261" s="152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</row>
    <row r="262" spans="2:30" s="176" customFormat="1">
      <c r="B262" s="181"/>
      <c r="C262" s="181"/>
      <c r="D262" s="181"/>
      <c r="E262" s="177"/>
      <c r="F262" s="177"/>
      <c r="G262" s="182"/>
      <c r="H262" s="182"/>
      <c r="I262" s="177"/>
      <c r="J262" s="149"/>
      <c r="K262" s="152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</row>
    <row r="263" spans="2:30" s="176" customFormat="1">
      <c r="B263" s="181"/>
      <c r="C263" s="181"/>
      <c r="D263" s="181"/>
      <c r="E263" s="177"/>
      <c r="F263" s="177"/>
      <c r="G263" s="182"/>
      <c r="H263" s="182"/>
      <c r="I263" s="177"/>
      <c r="J263" s="149"/>
      <c r="K263" s="152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</row>
    <row r="264" spans="2:30" s="176" customFormat="1">
      <c r="B264" s="181"/>
      <c r="C264" s="181"/>
      <c r="D264" s="181"/>
      <c r="E264" s="177"/>
      <c r="F264" s="177"/>
      <c r="G264" s="182"/>
      <c r="H264" s="182"/>
      <c r="I264" s="177"/>
      <c r="J264" s="149"/>
      <c r="K264" s="152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</row>
    <row r="265" spans="2:30" s="176" customFormat="1">
      <c r="B265" s="181"/>
      <c r="C265" s="181"/>
      <c r="D265" s="181"/>
      <c r="E265" s="177"/>
      <c r="F265" s="177"/>
      <c r="G265" s="182"/>
      <c r="H265" s="182"/>
      <c r="I265" s="177"/>
      <c r="J265" s="149"/>
      <c r="K265" s="152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</row>
    <row r="266" spans="2:30" s="176" customFormat="1">
      <c r="B266" s="181"/>
      <c r="C266" s="181"/>
      <c r="D266" s="181"/>
      <c r="E266" s="177"/>
      <c r="F266" s="177"/>
      <c r="G266" s="182"/>
      <c r="H266" s="182"/>
      <c r="I266" s="177"/>
      <c r="J266" s="149"/>
      <c r="K266" s="152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</row>
    <row r="267" spans="2:30" s="176" customFormat="1">
      <c r="B267" s="181"/>
      <c r="C267" s="181"/>
      <c r="D267" s="181"/>
      <c r="E267" s="177"/>
      <c r="F267" s="177"/>
      <c r="G267" s="182"/>
      <c r="H267" s="182"/>
      <c r="I267" s="177"/>
      <c r="J267" s="149"/>
      <c r="K267" s="152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</row>
    <row r="268" spans="2:30" s="176" customFormat="1">
      <c r="B268" s="181"/>
      <c r="C268" s="181"/>
      <c r="D268" s="181"/>
      <c r="E268" s="177"/>
      <c r="F268" s="177"/>
      <c r="G268" s="182"/>
      <c r="H268" s="182"/>
      <c r="I268" s="177"/>
      <c r="J268" s="149"/>
      <c r="K268" s="152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</row>
    <row r="269" spans="2:30" s="176" customFormat="1">
      <c r="B269" s="181"/>
      <c r="C269" s="181"/>
      <c r="D269" s="181"/>
      <c r="E269" s="177"/>
      <c r="F269" s="177"/>
      <c r="G269" s="182"/>
      <c r="H269" s="182"/>
      <c r="I269" s="177"/>
      <c r="J269" s="149"/>
      <c r="K269" s="152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</row>
    <row r="270" spans="2:30" s="176" customFormat="1">
      <c r="B270" s="181"/>
      <c r="C270" s="181"/>
      <c r="D270" s="181"/>
      <c r="E270" s="177"/>
      <c r="F270" s="177"/>
      <c r="G270" s="182"/>
      <c r="H270" s="182"/>
      <c r="I270" s="177"/>
      <c r="J270" s="149"/>
      <c r="K270" s="152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</row>
    <row r="271" spans="2:30" s="176" customFormat="1">
      <c r="B271" s="181"/>
      <c r="C271" s="181"/>
      <c r="D271" s="181"/>
      <c r="E271" s="177"/>
      <c r="F271" s="177"/>
      <c r="G271" s="182"/>
      <c r="H271" s="182"/>
      <c r="I271" s="177"/>
      <c r="J271" s="149"/>
      <c r="K271" s="152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</row>
    <row r="272" spans="2:30" s="176" customFormat="1">
      <c r="B272" s="181"/>
      <c r="C272" s="181"/>
      <c r="D272" s="181"/>
      <c r="E272" s="177"/>
      <c r="F272" s="177"/>
      <c r="G272" s="182"/>
      <c r="H272" s="182"/>
      <c r="I272" s="177"/>
      <c r="J272" s="149"/>
      <c r="K272" s="152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</row>
    <row r="273" spans="2:30" s="176" customFormat="1">
      <c r="B273" s="181"/>
      <c r="C273" s="181"/>
      <c r="D273" s="181"/>
      <c r="E273" s="177"/>
      <c r="F273" s="177"/>
      <c r="G273" s="182"/>
      <c r="H273" s="182"/>
      <c r="I273" s="177"/>
      <c r="J273" s="149"/>
      <c r="K273" s="152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</row>
    <row r="274" spans="2:30" s="176" customFormat="1">
      <c r="B274" s="181"/>
      <c r="C274" s="181"/>
      <c r="D274" s="181"/>
      <c r="E274" s="177"/>
      <c r="F274" s="177"/>
      <c r="G274" s="182"/>
      <c r="H274" s="182"/>
      <c r="I274" s="177"/>
      <c r="J274" s="149"/>
      <c r="K274" s="152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</row>
    <row r="275" spans="2:30" s="176" customFormat="1">
      <c r="B275" s="181"/>
      <c r="C275" s="181"/>
      <c r="D275" s="181"/>
      <c r="E275" s="177"/>
      <c r="F275" s="177"/>
      <c r="G275" s="182"/>
      <c r="H275" s="182"/>
      <c r="I275" s="177"/>
      <c r="J275" s="149"/>
      <c r="K275" s="152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</row>
    <row r="276" spans="2:30" s="176" customFormat="1">
      <c r="B276" s="181"/>
      <c r="C276" s="181"/>
      <c r="D276" s="181"/>
      <c r="E276" s="177"/>
      <c r="F276" s="177"/>
      <c r="G276" s="182"/>
      <c r="H276" s="182"/>
      <c r="I276" s="177"/>
      <c r="J276" s="149"/>
      <c r="K276" s="152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</row>
    <row r="277" spans="2:30" s="176" customFormat="1">
      <c r="B277" s="181"/>
      <c r="C277" s="181"/>
      <c r="D277" s="181"/>
      <c r="E277" s="177"/>
      <c r="F277" s="177"/>
      <c r="G277" s="182"/>
      <c r="H277" s="182"/>
      <c r="I277" s="177"/>
      <c r="J277" s="149"/>
      <c r="K277" s="152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</row>
    <row r="278" spans="2:30" s="176" customFormat="1">
      <c r="B278" s="181"/>
      <c r="C278" s="181"/>
      <c r="D278" s="181"/>
      <c r="E278" s="177"/>
      <c r="F278" s="177"/>
      <c r="G278" s="182"/>
      <c r="H278" s="182"/>
      <c r="I278" s="177"/>
      <c r="J278" s="149"/>
      <c r="K278" s="152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</row>
    <row r="279" spans="2:30" s="176" customFormat="1">
      <c r="B279" s="181"/>
      <c r="C279" s="181"/>
      <c r="D279" s="181"/>
      <c r="E279" s="177"/>
      <c r="F279" s="177"/>
      <c r="G279" s="182"/>
      <c r="H279" s="182"/>
      <c r="I279" s="177"/>
      <c r="J279" s="149"/>
      <c r="K279" s="152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</row>
    <row r="280" spans="2:30" s="176" customFormat="1">
      <c r="B280" s="181"/>
      <c r="C280" s="181"/>
      <c r="D280" s="181"/>
      <c r="E280" s="177"/>
      <c r="F280" s="177"/>
      <c r="G280" s="182"/>
      <c r="H280" s="182"/>
      <c r="I280" s="177"/>
      <c r="J280" s="149"/>
      <c r="K280" s="152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</row>
    <row r="281" spans="2:30" s="176" customFormat="1">
      <c r="B281" s="181"/>
      <c r="C281" s="181"/>
      <c r="D281" s="181"/>
      <c r="E281" s="177"/>
      <c r="F281" s="177"/>
      <c r="G281" s="182"/>
      <c r="H281" s="182"/>
      <c r="I281" s="177"/>
      <c r="J281" s="149"/>
      <c r="K281" s="152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</row>
    <row r="282" spans="2:30" s="176" customFormat="1">
      <c r="B282" s="181"/>
      <c r="C282" s="181"/>
      <c r="D282" s="181"/>
      <c r="E282" s="177"/>
      <c r="F282" s="177"/>
      <c r="G282" s="182"/>
      <c r="H282" s="182"/>
      <c r="I282" s="177"/>
      <c r="J282" s="149"/>
      <c r="K282" s="152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</row>
    <row r="283" spans="2:30" s="176" customFormat="1">
      <c r="B283" s="181"/>
      <c r="C283" s="181"/>
      <c r="D283" s="181"/>
      <c r="E283" s="177"/>
      <c r="F283" s="177"/>
      <c r="G283" s="182"/>
      <c r="H283" s="182"/>
      <c r="I283" s="177"/>
      <c r="J283" s="149"/>
      <c r="K283" s="152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</row>
    <row r="284" spans="2:30" s="176" customFormat="1">
      <c r="B284" s="181"/>
      <c r="C284" s="181"/>
      <c r="D284" s="181"/>
      <c r="E284" s="177"/>
      <c r="F284" s="177"/>
      <c r="G284" s="182"/>
      <c r="H284" s="182"/>
      <c r="I284" s="177"/>
      <c r="J284" s="149"/>
      <c r="K284" s="152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</row>
    <row r="285" spans="2:30" s="176" customFormat="1">
      <c r="B285" s="181"/>
      <c r="C285" s="181"/>
      <c r="D285" s="181"/>
      <c r="E285" s="177"/>
      <c r="F285" s="177"/>
      <c r="G285" s="182"/>
      <c r="H285" s="182"/>
      <c r="I285" s="177"/>
      <c r="J285" s="149"/>
      <c r="K285" s="152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</row>
    <row r="286" spans="2:30" s="176" customFormat="1">
      <c r="B286" s="181"/>
      <c r="C286" s="181"/>
      <c r="D286" s="181"/>
      <c r="E286" s="177"/>
      <c r="F286" s="177"/>
      <c r="G286" s="182"/>
      <c r="H286" s="182"/>
      <c r="I286" s="177"/>
      <c r="J286" s="149"/>
      <c r="K286" s="152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</row>
    <row r="287" spans="2:30" s="176" customFormat="1">
      <c r="B287" s="181"/>
      <c r="C287" s="181"/>
      <c r="D287" s="181"/>
      <c r="E287" s="177"/>
      <c r="F287" s="177"/>
      <c r="G287" s="182"/>
      <c r="H287" s="182"/>
      <c r="I287" s="177"/>
      <c r="J287" s="149"/>
      <c r="K287" s="152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</row>
    <row r="288" spans="2:30" s="176" customFormat="1">
      <c r="B288" s="181"/>
      <c r="C288" s="181"/>
      <c r="D288" s="181"/>
      <c r="E288" s="177"/>
      <c r="F288" s="177"/>
      <c r="G288" s="182"/>
      <c r="H288" s="182"/>
      <c r="I288" s="177"/>
      <c r="J288" s="149"/>
      <c r="K288" s="152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</row>
    <row r="289" spans="2:30" s="176" customFormat="1">
      <c r="B289" s="181"/>
      <c r="C289" s="181"/>
      <c r="D289" s="181"/>
      <c r="E289" s="177"/>
      <c r="F289" s="177"/>
      <c r="G289" s="182"/>
      <c r="H289" s="182"/>
      <c r="I289" s="177"/>
      <c r="J289" s="149"/>
      <c r="K289" s="152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</row>
    <row r="290" spans="2:30">
      <c r="E290" s="152"/>
      <c r="F290" s="152"/>
      <c r="I290" s="152"/>
      <c r="K290" s="152"/>
    </row>
    <row r="291" spans="2:30">
      <c r="E291" s="152"/>
      <c r="F291" s="152"/>
      <c r="I291" s="152"/>
      <c r="K291" s="152"/>
    </row>
    <row r="292" spans="2:30">
      <c r="E292" s="152"/>
      <c r="F292" s="152"/>
      <c r="I292" s="152"/>
      <c r="K292" s="152"/>
    </row>
    <row r="293" spans="2:30">
      <c r="E293" s="152"/>
      <c r="F293" s="152"/>
      <c r="I293" s="152"/>
      <c r="K293" s="152"/>
    </row>
    <row r="294" spans="2:30">
      <c r="E294" s="152"/>
      <c r="F294" s="152"/>
      <c r="I294" s="152"/>
      <c r="K294" s="152"/>
    </row>
    <row r="295" spans="2:30">
      <c r="E295" s="152"/>
      <c r="F295" s="152"/>
      <c r="I295" s="152"/>
      <c r="K295" s="152"/>
    </row>
    <row r="296" spans="2:30">
      <c r="E296" s="152"/>
      <c r="F296" s="152"/>
      <c r="I296" s="152"/>
      <c r="K296" s="152"/>
    </row>
    <row r="297" spans="2:30">
      <c r="E297" s="152"/>
      <c r="F297" s="152"/>
      <c r="I297" s="152"/>
      <c r="K297" s="152"/>
    </row>
    <row r="298" spans="2:30">
      <c r="E298" s="152"/>
      <c r="F298" s="152"/>
      <c r="I298" s="152"/>
      <c r="K298" s="152"/>
    </row>
    <row r="299" spans="2:30">
      <c r="E299" s="152"/>
      <c r="F299" s="152"/>
      <c r="I299" s="152"/>
      <c r="K299" s="152"/>
    </row>
    <row r="300" spans="2:30">
      <c r="E300" s="152"/>
      <c r="F300" s="152"/>
      <c r="I300" s="152"/>
      <c r="K300" s="152"/>
    </row>
    <row r="301" spans="2:30">
      <c r="E301" s="152"/>
      <c r="F301" s="152"/>
      <c r="I301" s="152"/>
      <c r="K301" s="152"/>
    </row>
    <row r="302" spans="2:30">
      <c r="E302" s="152"/>
      <c r="F302" s="152"/>
      <c r="I302" s="152"/>
      <c r="K302" s="152"/>
    </row>
    <row r="303" spans="2:30">
      <c r="E303" s="152"/>
      <c r="F303" s="152"/>
      <c r="I303" s="152"/>
      <c r="K303" s="152"/>
    </row>
    <row r="304" spans="2:30">
      <c r="E304" s="152"/>
      <c r="F304" s="152"/>
      <c r="I304" s="152"/>
      <c r="K304" s="152"/>
    </row>
    <row r="305" spans="5:11">
      <c r="E305" s="152"/>
      <c r="F305" s="152"/>
      <c r="I305" s="152"/>
      <c r="K305" s="152"/>
    </row>
    <row r="306" spans="5:11">
      <c r="E306" s="152"/>
      <c r="F306" s="152"/>
      <c r="I306" s="152"/>
      <c r="K306" s="152"/>
    </row>
    <row r="307" spans="5:11">
      <c r="E307" s="152"/>
      <c r="F307" s="152"/>
      <c r="I307" s="152"/>
      <c r="K307" s="152"/>
    </row>
    <row r="308" spans="5:11">
      <c r="E308" s="152"/>
      <c r="F308" s="152"/>
      <c r="I308" s="152"/>
      <c r="K308" s="152"/>
    </row>
    <row r="309" spans="5:11">
      <c r="E309" s="152"/>
      <c r="F309" s="152"/>
      <c r="I309" s="152"/>
      <c r="K309" s="152"/>
    </row>
    <row r="310" spans="5:11">
      <c r="E310" s="152"/>
      <c r="F310" s="152"/>
      <c r="I310" s="152"/>
      <c r="K310" s="152"/>
    </row>
    <row r="311" spans="5:11">
      <c r="E311" s="152"/>
      <c r="F311" s="152"/>
      <c r="I311" s="152"/>
      <c r="K311" s="152"/>
    </row>
    <row r="312" spans="5:11">
      <c r="E312" s="152"/>
      <c r="F312" s="152"/>
      <c r="I312" s="152"/>
      <c r="K312" s="152"/>
    </row>
    <row r="313" spans="5:11">
      <c r="E313" s="152"/>
      <c r="F313" s="152"/>
      <c r="I313" s="152"/>
      <c r="K313" s="152"/>
    </row>
    <row r="314" spans="5:11">
      <c r="E314" s="152"/>
      <c r="F314" s="152"/>
      <c r="I314" s="152"/>
      <c r="K314" s="152"/>
    </row>
    <row r="315" spans="5:11">
      <c r="E315" s="152"/>
      <c r="F315" s="152"/>
      <c r="I315" s="152"/>
      <c r="K315" s="152"/>
    </row>
    <row r="316" spans="5:11">
      <c r="E316" s="152"/>
      <c r="F316" s="152"/>
      <c r="I316" s="152"/>
      <c r="K316" s="152"/>
    </row>
    <row r="317" spans="5:11">
      <c r="E317" s="152"/>
      <c r="F317" s="152"/>
      <c r="I317" s="152"/>
      <c r="K317" s="152"/>
    </row>
    <row r="318" spans="5:11">
      <c r="E318" s="152"/>
      <c r="F318" s="152"/>
      <c r="I318" s="152"/>
      <c r="K318" s="152"/>
    </row>
    <row r="319" spans="5:11">
      <c r="E319" s="152"/>
      <c r="F319" s="152"/>
      <c r="I319" s="152"/>
      <c r="K319" s="152"/>
    </row>
    <row r="320" spans="5:11">
      <c r="E320" s="152"/>
      <c r="F320" s="152"/>
      <c r="I320" s="152"/>
      <c r="K320" s="152"/>
    </row>
    <row r="321" spans="5:11">
      <c r="E321" s="152"/>
      <c r="F321" s="152"/>
      <c r="I321" s="152"/>
      <c r="K321" s="152"/>
    </row>
    <row r="322" spans="5:11">
      <c r="E322" s="152"/>
      <c r="F322" s="152"/>
      <c r="I322" s="152"/>
      <c r="K322" s="152"/>
    </row>
    <row r="323" spans="5:11">
      <c r="E323" s="152"/>
      <c r="F323" s="152"/>
      <c r="I323" s="152"/>
      <c r="K323" s="152"/>
    </row>
    <row r="324" spans="5:11">
      <c r="E324" s="152"/>
      <c r="F324" s="152"/>
      <c r="I324" s="152"/>
      <c r="K324" s="152"/>
    </row>
    <row r="325" spans="5:11">
      <c r="E325" s="152"/>
      <c r="F325" s="152"/>
      <c r="I325" s="152"/>
      <c r="K325" s="152"/>
    </row>
    <row r="326" spans="5:11">
      <c r="E326" s="152"/>
      <c r="F326" s="152"/>
      <c r="I326" s="152"/>
      <c r="K326" s="152"/>
    </row>
    <row r="327" spans="5:11">
      <c r="E327" s="152"/>
      <c r="F327" s="152"/>
      <c r="I327" s="152"/>
      <c r="K327" s="152"/>
    </row>
    <row r="328" spans="5:11">
      <c r="E328" s="152"/>
      <c r="F328" s="152"/>
      <c r="I328" s="152"/>
      <c r="K328" s="152"/>
    </row>
    <row r="329" spans="5:11">
      <c r="E329" s="152"/>
      <c r="F329" s="152"/>
      <c r="I329" s="152"/>
      <c r="K329" s="152"/>
    </row>
    <row r="330" spans="5:11">
      <c r="E330" s="152"/>
      <c r="F330" s="152"/>
      <c r="I330" s="152"/>
      <c r="K330" s="152"/>
    </row>
    <row r="331" spans="5:11">
      <c r="E331" s="152"/>
      <c r="F331" s="152"/>
      <c r="I331" s="152"/>
      <c r="K331" s="152"/>
    </row>
    <row r="332" spans="5:11">
      <c r="E332" s="152"/>
      <c r="F332" s="152"/>
      <c r="I332" s="152"/>
      <c r="K332" s="152"/>
    </row>
    <row r="333" spans="5:11">
      <c r="E333" s="152"/>
      <c r="F333" s="152"/>
      <c r="I333" s="152"/>
      <c r="K333" s="152"/>
    </row>
    <row r="334" spans="5:11">
      <c r="E334" s="152"/>
      <c r="F334" s="152"/>
      <c r="I334" s="152"/>
      <c r="K334" s="152"/>
    </row>
    <row r="335" spans="5:11">
      <c r="E335" s="152"/>
      <c r="F335" s="152"/>
      <c r="I335" s="152"/>
      <c r="K335" s="152"/>
    </row>
    <row r="336" spans="5:11">
      <c r="E336" s="152"/>
      <c r="F336" s="152"/>
      <c r="I336" s="152"/>
      <c r="K336" s="152"/>
    </row>
    <row r="337" spans="5:11">
      <c r="E337" s="152"/>
      <c r="F337" s="152"/>
      <c r="I337" s="152"/>
      <c r="K337" s="152"/>
    </row>
    <row r="338" spans="5:11">
      <c r="E338" s="152"/>
      <c r="F338" s="152"/>
      <c r="I338" s="152"/>
      <c r="K338" s="152"/>
    </row>
    <row r="339" spans="5:11">
      <c r="E339" s="152"/>
      <c r="F339" s="152"/>
      <c r="I339" s="152"/>
      <c r="K339" s="152"/>
    </row>
    <row r="340" spans="5:11">
      <c r="E340" s="152"/>
      <c r="F340" s="152"/>
      <c r="I340" s="152"/>
      <c r="K340" s="152"/>
    </row>
    <row r="341" spans="5:11">
      <c r="E341" s="152"/>
      <c r="F341" s="152"/>
      <c r="I341" s="152"/>
      <c r="K341" s="152"/>
    </row>
    <row r="342" spans="5:11">
      <c r="E342" s="152"/>
      <c r="F342" s="152"/>
      <c r="I342" s="152"/>
      <c r="K342" s="152"/>
    </row>
    <row r="343" spans="5:11">
      <c r="E343" s="152"/>
      <c r="F343" s="152"/>
      <c r="I343" s="152"/>
      <c r="K343" s="152"/>
    </row>
    <row r="344" spans="5:11">
      <c r="E344" s="152"/>
      <c r="F344" s="152"/>
      <c r="I344" s="152"/>
      <c r="K344" s="152"/>
    </row>
    <row r="345" spans="5:11">
      <c r="E345" s="152"/>
      <c r="F345" s="152"/>
      <c r="I345" s="152"/>
      <c r="K345" s="152"/>
    </row>
    <row r="346" spans="5:11">
      <c r="E346" s="152"/>
      <c r="F346" s="152"/>
      <c r="I346" s="152"/>
      <c r="K346" s="152"/>
    </row>
    <row r="347" spans="5:11">
      <c r="E347" s="152"/>
      <c r="F347" s="152"/>
      <c r="I347" s="152"/>
      <c r="K347" s="152"/>
    </row>
    <row r="348" spans="5:11">
      <c r="E348" s="152"/>
      <c r="F348" s="152"/>
      <c r="I348" s="152"/>
      <c r="K348" s="152"/>
    </row>
    <row r="349" spans="5:11">
      <c r="E349" s="152"/>
      <c r="F349" s="152"/>
      <c r="I349" s="152"/>
      <c r="K349" s="152"/>
    </row>
    <row r="350" spans="5:11">
      <c r="E350" s="152"/>
      <c r="F350" s="152"/>
      <c r="I350" s="152"/>
      <c r="K350" s="152"/>
    </row>
    <row r="351" spans="5:11">
      <c r="E351" s="152"/>
      <c r="F351" s="152"/>
      <c r="I351" s="152"/>
      <c r="K351" s="152"/>
    </row>
    <row r="352" spans="5:11">
      <c r="E352" s="152"/>
      <c r="F352" s="152"/>
      <c r="I352" s="152"/>
      <c r="K352" s="152"/>
    </row>
    <row r="353" spans="5:11">
      <c r="E353" s="152"/>
      <c r="F353" s="152"/>
      <c r="I353" s="152"/>
      <c r="K353" s="152"/>
    </row>
    <row r="354" spans="5:11">
      <c r="E354" s="152"/>
      <c r="F354" s="152"/>
      <c r="I354" s="152"/>
      <c r="K354" s="152"/>
    </row>
    <row r="355" spans="5:11">
      <c r="E355" s="152"/>
      <c r="F355" s="152"/>
      <c r="I355" s="152"/>
      <c r="K355" s="152"/>
    </row>
    <row r="356" spans="5:11">
      <c r="E356" s="152"/>
      <c r="F356" s="152"/>
      <c r="I356" s="152"/>
      <c r="K356" s="152"/>
    </row>
    <row r="357" spans="5:11">
      <c r="E357" s="152"/>
      <c r="F357" s="152"/>
      <c r="I357" s="152"/>
      <c r="K357" s="152"/>
    </row>
    <row r="358" spans="5:11">
      <c r="E358" s="152"/>
      <c r="F358" s="152"/>
      <c r="I358" s="152"/>
      <c r="K358" s="152"/>
    </row>
    <row r="359" spans="5:11">
      <c r="E359" s="152"/>
      <c r="F359" s="152"/>
      <c r="I359" s="152"/>
      <c r="K359" s="152"/>
    </row>
    <row r="360" spans="5:11">
      <c r="E360" s="152"/>
      <c r="F360" s="152"/>
      <c r="I360" s="152"/>
      <c r="K360" s="152"/>
    </row>
    <row r="361" spans="5:11">
      <c r="E361" s="152"/>
      <c r="F361" s="152"/>
      <c r="I361" s="152"/>
      <c r="K361" s="152"/>
    </row>
    <row r="362" spans="5:11">
      <c r="E362" s="152"/>
      <c r="F362" s="152"/>
      <c r="I362" s="152"/>
      <c r="K362" s="152"/>
    </row>
    <row r="363" spans="5:11">
      <c r="E363" s="152"/>
      <c r="F363" s="152"/>
      <c r="I363" s="152"/>
      <c r="K363" s="152"/>
    </row>
    <row r="364" spans="5:11">
      <c r="E364" s="152"/>
      <c r="F364" s="152"/>
      <c r="I364" s="152"/>
      <c r="K364" s="152"/>
    </row>
    <row r="365" spans="5:11">
      <c r="E365" s="152"/>
      <c r="F365" s="152"/>
      <c r="I365" s="152"/>
      <c r="K365" s="152"/>
    </row>
    <row r="366" spans="5:11">
      <c r="E366" s="152"/>
      <c r="F366" s="152"/>
      <c r="I366" s="152"/>
      <c r="K366" s="152"/>
    </row>
    <row r="367" spans="5:11">
      <c r="E367" s="152"/>
      <c r="F367" s="152"/>
      <c r="I367" s="152"/>
      <c r="K367" s="152"/>
    </row>
    <row r="368" spans="5:11">
      <c r="E368" s="152"/>
      <c r="F368" s="152"/>
      <c r="I368" s="152"/>
      <c r="K368" s="152"/>
    </row>
    <row r="369" spans="5:11">
      <c r="E369" s="152"/>
      <c r="F369" s="152"/>
      <c r="I369" s="152"/>
      <c r="K369" s="152"/>
    </row>
    <row r="370" spans="5:11">
      <c r="E370" s="152"/>
      <c r="F370" s="152"/>
      <c r="I370" s="152"/>
      <c r="K370" s="152"/>
    </row>
    <row r="371" spans="5:11">
      <c r="E371" s="152"/>
      <c r="F371" s="152"/>
      <c r="I371" s="152"/>
      <c r="K371" s="152"/>
    </row>
    <row r="372" spans="5:11">
      <c r="E372" s="152"/>
      <c r="F372" s="152"/>
      <c r="I372" s="152"/>
      <c r="K372" s="152"/>
    </row>
    <row r="373" spans="5:11">
      <c r="E373" s="152"/>
      <c r="F373" s="152"/>
      <c r="I373" s="152"/>
      <c r="K373" s="152"/>
    </row>
    <row r="374" spans="5:11">
      <c r="E374" s="152"/>
      <c r="F374" s="152"/>
      <c r="I374" s="152"/>
      <c r="K374" s="152"/>
    </row>
    <row r="375" spans="5:11">
      <c r="E375" s="152"/>
      <c r="F375" s="152"/>
      <c r="I375" s="152"/>
      <c r="K375" s="152"/>
    </row>
    <row r="376" spans="5:11">
      <c r="E376" s="152"/>
      <c r="F376" s="152"/>
      <c r="I376" s="152"/>
      <c r="K376" s="152"/>
    </row>
    <row r="377" spans="5:11">
      <c r="E377" s="152"/>
      <c r="F377" s="152"/>
      <c r="I377" s="152"/>
      <c r="K377" s="152"/>
    </row>
    <row r="378" spans="5:11">
      <c r="E378" s="152"/>
      <c r="F378" s="152"/>
      <c r="I378" s="152"/>
      <c r="K378" s="152"/>
    </row>
    <row r="379" spans="5:11">
      <c r="E379" s="152"/>
      <c r="F379" s="152"/>
      <c r="I379" s="152"/>
      <c r="K379" s="152"/>
    </row>
    <row r="380" spans="5:11">
      <c r="E380" s="152"/>
      <c r="F380" s="152"/>
      <c r="I380" s="152"/>
      <c r="K380" s="152"/>
    </row>
    <row r="381" spans="5:11">
      <c r="E381" s="152"/>
      <c r="F381" s="152"/>
      <c r="I381" s="152"/>
      <c r="K381" s="152"/>
    </row>
    <row r="382" spans="5:11">
      <c r="E382" s="152"/>
      <c r="F382" s="152"/>
      <c r="I382" s="152"/>
      <c r="K382" s="152"/>
    </row>
    <row r="383" spans="5:11">
      <c r="E383" s="152"/>
      <c r="F383" s="152"/>
      <c r="I383" s="152"/>
      <c r="K383" s="152"/>
    </row>
    <row r="384" spans="5:11">
      <c r="E384" s="152"/>
      <c r="F384" s="152"/>
      <c r="I384" s="152"/>
      <c r="K384" s="152"/>
    </row>
    <row r="385" spans="5:11">
      <c r="E385" s="152"/>
      <c r="F385" s="152"/>
      <c r="I385" s="152"/>
      <c r="K385" s="152"/>
    </row>
    <row r="386" spans="5:11">
      <c r="E386" s="152"/>
      <c r="F386" s="152"/>
      <c r="I386" s="152"/>
      <c r="K386" s="152"/>
    </row>
    <row r="387" spans="5:11">
      <c r="E387" s="152"/>
      <c r="F387" s="152"/>
      <c r="I387" s="152"/>
      <c r="K387" s="152"/>
    </row>
    <row r="388" spans="5:11">
      <c r="E388" s="152"/>
      <c r="F388" s="152"/>
      <c r="I388" s="152"/>
      <c r="K388" s="152"/>
    </row>
    <row r="389" spans="5:11">
      <c r="E389" s="152"/>
      <c r="F389" s="152"/>
      <c r="I389" s="152"/>
      <c r="K389" s="152"/>
    </row>
    <row r="390" spans="5:11">
      <c r="E390" s="152"/>
      <c r="F390" s="152"/>
      <c r="I390" s="152"/>
      <c r="K390" s="152"/>
    </row>
    <row r="391" spans="5:11">
      <c r="E391" s="152"/>
      <c r="F391" s="152"/>
      <c r="I391" s="152"/>
      <c r="K391" s="152"/>
    </row>
    <row r="392" spans="5:11">
      <c r="E392" s="152"/>
      <c r="F392" s="152"/>
      <c r="I392" s="152"/>
      <c r="K392" s="152"/>
    </row>
    <row r="393" spans="5:11">
      <c r="E393" s="152"/>
      <c r="F393" s="152"/>
      <c r="I393" s="152"/>
      <c r="K393" s="152"/>
    </row>
    <row r="394" spans="5:11">
      <c r="E394" s="152"/>
      <c r="F394" s="152"/>
      <c r="I394" s="152"/>
      <c r="K394" s="152"/>
    </row>
    <row r="395" spans="5:11">
      <c r="E395" s="152"/>
      <c r="F395" s="152"/>
      <c r="I395" s="152"/>
      <c r="K395" s="152"/>
    </row>
    <row r="396" spans="5:11">
      <c r="E396" s="152"/>
      <c r="F396" s="152"/>
      <c r="I396" s="152"/>
      <c r="K396" s="152"/>
    </row>
    <row r="397" spans="5:11">
      <c r="E397" s="152"/>
      <c r="F397" s="152"/>
      <c r="I397" s="152"/>
      <c r="K397" s="152"/>
    </row>
    <row r="398" spans="5:11">
      <c r="E398" s="152"/>
      <c r="F398" s="152"/>
      <c r="I398" s="152"/>
      <c r="K398" s="152"/>
    </row>
    <row r="399" spans="5:11">
      <c r="E399" s="152"/>
      <c r="F399" s="152"/>
      <c r="I399" s="152"/>
      <c r="K399" s="152"/>
    </row>
    <row r="400" spans="5:11">
      <c r="E400" s="152"/>
      <c r="F400" s="152"/>
      <c r="I400" s="152"/>
      <c r="K400" s="152"/>
    </row>
    <row r="401" spans="5:11">
      <c r="E401" s="152"/>
      <c r="F401" s="152"/>
      <c r="I401" s="152"/>
      <c r="K401" s="152"/>
    </row>
    <row r="402" spans="5:11">
      <c r="E402" s="152"/>
      <c r="F402" s="152"/>
      <c r="I402" s="152"/>
      <c r="K402" s="152"/>
    </row>
    <row r="403" spans="5:11">
      <c r="E403" s="152"/>
      <c r="F403" s="152"/>
      <c r="I403" s="152"/>
      <c r="K403" s="152"/>
    </row>
    <row r="404" spans="5:11">
      <c r="E404" s="152"/>
      <c r="F404" s="152"/>
      <c r="I404" s="152"/>
      <c r="K404" s="152"/>
    </row>
    <row r="405" spans="5:11">
      <c r="E405" s="152"/>
      <c r="F405" s="152"/>
      <c r="I405" s="152"/>
      <c r="K405" s="152"/>
    </row>
    <row r="406" spans="5:11">
      <c r="E406" s="152"/>
      <c r="F406" s="152"/>
      <c r="I406" s="152"/>
      <c r="K406" s="152"/>
    </row>
    <row r="407" spans="5:11">
      <c r="E407" s="152"/>
      <c r="F407" s="152"/>
      <c r="I407" s="152"/>
      <c r="K407" s="152"/>
    </row>
    <row r="408" spans="5:11">
      <c r="E408" s="152"/>
      <c r="F408" s="152"/>
      <c r="I408" s="152"/>
      <c r="K408" s="152"/>
    </row>
    <row r="409" spans="5:11">
      <c r="E409" s="152"/>
      <c r="F409" s="152"/>
      <c r="I409" s="152"/>
      <c r="K409" s="152"/>
    </row>
    <row r="410" spans="5:11">
      <c r="E410" s="152"/>
      <c r="F410" s="152"/>
      <c r="I410" s="152"/>
      <c r="K410" s="152"/>
    </row>
    <row r="411" spans="5:11">
      <c r="E411" s="152"/>
      <c r="F411" s="152"/>
      <c r="I411" s="152"/>
      <c r="K411" s="152"/>
    </row>
    <row r="412" spans="5:11">
      <c r="E412" s="152"/>
      <c r="F412" s="152"/>
      <c r="I412" s="152"/>
      <c r="K412" s="152"/>
    </row>
    <row r="413" spans="5:11">
      <c r="E413" s="152"/>
      <c r="F413" s="152"/>
      <c r="I413" s="152"/>
      <c r="K413" s="152"/>
    </row>
    <row r="414" spans="5:11">
      <c r="E414" s="152"/>
      <c r="F414" s="152"/>
      <c r="I414" s="152"/>
      <c r="K414" s="152"/>
    </row>
  </sheetData>
  <mergeCells count="1">
    <mergeCell ref="B3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432"/>
  <sheetViews>
    <sheetView topLeftCell="B2" workbookViewId="0">
      <selection activeCell="F67" sqref="F67"/>
    </sheetView>
  </sheetViews>
  <sheetFormatPr defaultColWidth="9.109375" defaultRowHeight="14.4"/>
  <cols>
    <col min="1" max="1" width="0" style="149" hidden="1" customWidth="1"/>
    <col min="2" max="2" width="10.109375" style="148" bestFit="1" customWidth="1"/>
    <col min="3" max="3" width="10.109375" style="148" hidden="1" customWidth="1"/>
    <col min="4" max="4" width="15.44140625" style="148" customWidth="1"/>
    <col min="5" max="5" width="14.33203125" style="149" bestFit="1" customWidth="1"/>
    <col min="6" max="6" width="15" style="149" bestFit="1" customWidth="1"/>
    <col min="7" max="7" width="15.33203125" style="150" bestFit="1" customWidth="1"/>
    <col min="8" max="8" width="13.33203125" style="150" customWidth="1"/>
    <col min="9" max="9" width="14.33203125" style="149" bestFit="1" customWidth="1"/>
    <col min="10" max="10" width="9.109375" style="149"/>
    <col min="11" max="11" width="10.5546875" style="149" hidden="1" customWidth="1"/>
    <col min="12" max="12" width="16.33203125" style="149" customWidth="1"/>
    <col min="13" max="14" width="14.33203125" style="149" customWidth="1"/>
    <col min="15" max="16" width="13.33203125" style="149" customWidth="1"/>
    <col min="17" max="29" width="13.33203125" style="149" bestFit="1" customWidth="1"/>
    <col min="30" max="30" width="11.5546875" style="149" bestFit="1" customWidth="1"/>
    <col min="31" max="32" width="14.33203125" style="149" bestFit="1" customWidth="1"/>
    <col min="33" max="16384" width="9.109375" style="149"/>
  </cols>
  <sheetData>
    <row r="1" spans="2:32" hidden="1">
      <c r="B1" s="148" t="s">
        <v>72</v>
      </c>
      <c r="E1" s="149">
        <v>4.55</v>
      </c>
    </row>
    <row r="2" spans="2:32">
      <c r="L2" s="185"/>
      <c r="M2" s="185"/>
      <c r="N2" s="185"/>
    </row>
    <row r="3" spans="2:32">
      <c r="B3" s="316" t="s">
        <v>82</v>
      </c>
      <c r="C3" s="316"/>
      <c r="D3" s="316"/>
      <c r="E3" s="316"/>
      <c r="F3" s="316"/>
      <c r="G3" s="316"/>
      <c r="H3" s="316"/>
      <c r="I3" s="316"/>
      <c r="M3" s="152">
        <f>E4+7500000</f>
        <v>14489583.300000001</v>
      </c>
      <c r="N3" s="152"/>
    </row>
    <row r="4" spans="2:32">
      <c r="B4" s="151" t="s">
        <v>83</v>
      </c>
      <c r="E4" s="48">
        <f>'[13]CREDIT ref 6.98 MIO'!$E$4</f>
        <v>6989583.2999999998</v>
      </c>
      <c r="F4" s="152" t="s">
        <v>62</v>
      </c>
    </row>
    <row r="5" spans="2:32">
      <c r="B5" s="153"/>
      <c r="C5" s="153"/>
      <c r="D5" s="153"/>
      <c r="E5" s="154"/>
      <c r="F5" s="155" t="s">
        <v>62</v>
      </c>
    </row>
    <row r="6" spans="2:32">
      <c r="B6" s="186" t="s">
        <v>129</v>
      </c>
      <c r="E6" s="156">
        <f>'Eximbank 4'!D6</f>
        <v>5.7799999999999997E-2</v>
      </c>
    </row>
    <row r="7" spans="2:32">
      <c r="B7" s="148" t="s">
        <v>28</v>
      </c>
      <c r="E7" s="156">
        <v>1.6E-2</v>
      </c>
    </row>
    <row r="8" spans="2:32">
      <c r="B8" s="153"/>
      <c r="C8" s="153"/>
      <c r="D8" s="153"/>
      <c r="E8" s="184">
        <f>E6+E7</f>
        <v>7.3800000000000004E-2</v>
      </c>
    </row>
    <row r="9" spans="2:32" hidden="1">
      <c r="B9" s="186" t="s">
        <v>84</v>
      </c>
      <c r="E9" s="150">
        <v>0</v>
      </c>
    </row>
    <row r="10" spans="2:32" hidden="1">
      <c r="B10" s="186"/>
      <c r="E10" s="150"/>
    </row>
    <row r="11" spans="2:32" hidden="1">
      <c r="E11" s="156"/>
      <c r="F11" s="156"/>
      <c r="L11" s="157"/>
      <c r="M11" s="157"/>
      <c r="N11" s="15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F11" s="188"/>
    </row>
    <row r="12" spans="2:32">
      <c r="B12" s="159" t="s">
        <v>75</v>
      </c>
      <c r="C12" s="159"/>
      <c r="D12" s="159" t="s">
        <v>76</v>
      </c>
      <c r="E12" s="160" t="s">
        <v>77</v>
      </c>
      <c r="F12" s="159" t="s">
        <v>29</v>
      </c>
      <c r="G12" s="161" t="s">
        <v>13</v>
      </c>
      <c r="H12" s="161" t="s">
        <v>9</v>
      </c>
      <c r="I12" s="159" t="s">
        <v>32</v>
      </c>
      <c r="L12" s="157"/>
      <c r="M12" s="157"/>
      <c r="N12" s="189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F12" s="188"/>
    </row>
    <row r="13" spans="2:32">
      <c r="B13" s="162">
        <v>1</v>
      </c>
      <c r="C13" s="162"/>
      <c r="D13" s="162">
        <v>2</v>
      </c>
      <c r="E13" s="162">
        <v>3</v>
      </c>
      <c r="F13" s="162">
        <v>4</v>
      </c>
      <c r="G13" s="162">
        <v>5</v>
      </c>
      <c r="H13" s="162">
        <v>6</v>
      </c>
      <c r="I13" s="162" t="s">
        <v>78</v>
      </c>
      <c r="M13" s="152"/>
      <c r="N13" s="149">
        <v>2022</v>
      </c>
      <c r="O13" s="149">
        <f>N13+1</f>
        <v>2023</v>
      </c>
      <c r="P13" s="149">
        <f t="shared" ref="P13:Z13" si="0">O13+1</f>
        <v>2024</v>
      </c>
      <c r="Q13" s="149">
        <f t="shared" si="0"/>
        <v>2025</v>
      </c>
      <c r="R13" s="149">
        <f t="shared" si="0"/>
        <v>2026</v>
      </c>
      <c r="S13" s="149">
        <f t="shared" si="0"/>
        <v>2027</v>
      </c>
      <c r="T13" s="149">
        <f t="shared" si="0"/>
        <v>2028</v>
      </c>
      <c r="U13" s="149">
        <f t="shared" si="0"/>
        <v>2029</v>
      </c>
      <c r="V13" s="149">
        <f t="shared" si="0"/>
        <v>2030</v>
      </c>
      <c r="W13" s="149">
        <f t="shared" si="0"/>
        <v>2031</v>
      </c>
      <c r="X13" s="149">
        <f t="shared" si="0"/>
        <v>2032</v>
      </c>
      <c r="Y13" s="149">
        <f t="shared" si="0"/>
        <v>2033</v>
      </c>
      <c r="Z13" s="149">
        <f t="shared" si="0"/>
        <v>2034</v>
      </c>
      <c r="AF13" s="152"/>
    </row>
    <row r="14" spans="2:32" hidden="1">
      <c r="B14" s="190">
        <v>43040</v>
      </c>
      <c r="C14" s="162"/>
      <c r="D14" s="162"/>
      <c r="E14" s="162"/>
      <c r="F14" s="162"/>
      <c r="G14" s="162"/>
      <c r="H14" s="162"/>
      <c r="I14" s="162"/>
      <c r="M14" s="152"/>
      <c r="AF14" s="152"/>
    </row>
    <row r="15" spans="2:32" hidden="1">
      <c r="B15" s="191">
        <v>43069</v>
      </c>
      <c r="C15" s="162"/>
      <c r="D15" s="162"/>
      <c r="E15" s="162"/>
      <c r="F15" s="162"/>
      <c r="G15" s="162"/>
      <c r="H15" s="162"/>
      <c r="I15" s="162"/>
      <c r="M15" s="152"/>
      <c r="AF15" s="152"/>
    </row>
    <row r="16" spans="2:32" hidden="1">
      <c r="B16" s="191">
        <v>43100</v>
      </c>
      <c r="C16" s="162"/>
      <c r="D16" s="162"/>
      <c r="E16" s="162"/>
      <c r="F16" s="162"/>
      <c r="G16" s="162"/>
      <c r="H16" s="162"/>
      <c r="I16" s="162"/>
      <c r="M16" s="152"/>
      <c r="AF16" s="152"/>
    </row>
    <row r="17" spans="2:31" hidden="1">
      <c r="B17" s="163">
        <v>43131</v>
      </c>
      <c r="C17" s="163">
        <f>B18</f>
        <v>43159</v>
      </c>
      <c r="D17" s="164"/>
      <c r="E17" s="165"/>
      <c r="F17" s="166"/>
      <c r="G17" s="164"/>
      <c r="H17" s="164"/>
      <c r="I17" s="165"/>
    </row>
    <row r="18" spans="2:31" hidden="1">
      <c r="B18" s="163">
        <f>EOMONTH(B17,1)</f>
        <v>43159</v>
      </c>
      <c r="C18" s="163">
        <f>B19</f>
        <v>43190</v>
      </c>
      <c r="D18" s="164"/>
      <c r="E18" s="166">
        <v>0</v>
      </c>
      <c r="F18" s="166">
        <v>0</v>
      </c>
      <c r="G18" s="164">
        <f t="shared" ref="G18" si="1">F17*(C17-B17)*$E$8/360</f>
        <v>0</v>
      </c>
      <c r="H18" s="164"/>
      <c r="I18" s="166">
        <f>E18+G18</f>
        <v>0</v>
      </c>
      <c r="K18" s="152">
        <f>I18/4.5</f>
        <v>0</v>
      </c>
    </row>
    <row r="19" spans="2:31" hidden="1">
      <c r="B19" s="163">
        <f>EOMONTH(B18,1)</f>
        <v>43190</v>
      </c>
      <c r="C19" s="163">
        <f>B20</f>
        <v>43220</v>
      </c>
      <c r="D19" s="192">
        <v>0</v>
      </c>
      <c r="E19" s="166"/>
      <c r="F19" s="192">
        <f>D19</f>
        <v>0</v>
      </c>
      <c r="G19" s="164">
        <v>0</v>
      </c>
      <c r="H19" s="164"/>
      <c r="I19" s="166">
        <f>E19+G19</f>
        <v>0</v>
      </c>
      <c r="K19" s="152">
        <f>I19/4.5</f>
        <v>0</v>
      </c>
    </row>
    <row r="20" spans="2:31" hidden="1">
      <c r="B20" s="163">
        <f t="shared" ref="B20:B83" si="2">EOMONTH(B19,1)</f>
        <v>43220</v>
      </c>
      <c r="C20" s="163">
        <f t="shared" ref="C20:C24" si="3">B21</f>
        <v>43251</v>
      </c>
      <c r="D20" s="163"/>
      <c r="E20" s="166"/>
      <c r="F20" s="192">
        <f>D20+F19</f>
        <v>0</v>
      </c>
      <c r="G20" s="164">
        <f>ROUND((B20-B19)*$E$8*F20/360,2)</f>
        <v>0</v>
      </c>
      <c r="H20" s="164"/>
      <c r="I20" s="192">
        <f>E20+G20</f>
        <v>0</v>
      </c>
      <c r="K20" s="152">
        <f t="shared" ref="K20:K24" si="4">I20/4.5</f>
        <v>0</v>
      </c>
    </row>
    <row r="21" spans="2:31" hidden="1">
      <c r="B21" s="163">
        <f t="shared" si="2"/>
        <v>43251</v>
      </c>
      <c r="C21" s="163">
        <f t="shared" si="3"/>
        <v>43281</v>
      </c>
      <c r="D21" s="192">
        <v>0</v>
      </c>
      <c r="E21" s="166"/>
      <c r="F21" s="192">
        <f>F20-E20+D20</f>
        <v>0</v>
      </c>
      <c r="G21" s="164">
        <f t="shared" ref="G21:G84" si="5">ROUND((B21-B20)*$E$8*F21/360,2)</f>
        <v>0</v>
      </c>
      <c r="H21" s="164"/>
      <c r="I21" s="192">
        <f t="shared" ref="I21:I84" si="6">E21+G21</f>
        <v>0</v>
      </c>
      <c r="K21" s="152">
        <f t="shared" si="4"/>
        <v>0</v>
      </c>
    </row>
    <row r="22" spans="2:31" hidden="1">
      <c r="B22" s="163">
        <f t="shared" si="2"/>
        <v>43281</v>
      </c>
      <c r="C22" s="163">
        <f t="shared" si="3"/>
        <v>43312</v>
      </c>
      <c r="D22" s="192">
        <v>0</v>
      </c>
      <c r="E22" s="166"/>
      <c r="F22" s="192">
        <f>F21-E21+D21</f>
        <v>0</v>
      </c>
      <c r="G22" s="164">
        <f t="shared" si="5"/>
        <v>0</v>
      </c>
      <c r="H22" s="164"/>
      <c r="I22" s="192">
        <f t="shared" si="6"/>
        <v>0</v>
      </c>
      <c r="K22" s="152">
        <f t="shared" si="4"/>
        <v>0</v>
      </c>
    </row>
    <row r="23" spans="2:31" hidden="1">
      <c r="B23" s="163">
        <f t="shared" si="2"/>
        <v>43312</v>
      </c>
      <c r="C23" s="163">
        <f t="shared" si="3"/>
        <v>43343</v>
      </c>
      <c r="D23" s="192">
        <v>0</v>
      </c>
      <c r="E23" s="166"/>
      <c r="F23" s="192">
        <f>F22-E22+D22</f>
        <v>0</v>
      </c>
      <c r="G23" s="164">
        <f t="shared" si="5"/>
        <v>0</v>
      </c>
      <c r="H23" s="164"/>
      <c r="I23" s="192">
        <f t="shared" si="6"/>
        <v>0</v>
      </c>
      <c r="K23" s="152">
        <f t="shared" si="4"/>
        <v>0</v>
      </c>
      <c r="O23" s="149">
        <v>2018</v>
      </c>
      <c r="P23" s="149">
        <f>O23+1</f>
        <v>2019</v>
      </c>
      <c r="Q23" s="149">
        <f t="shared" ref="Q23:Z23" si="7">P23+1</f>
        <v>2020</v>
      </c>
      <c r="R23" s="149">
        <f t="shared" si="7"/>
        <v>2021</v>
      </c>
      <c r="S23" s="149">
        <f t="shared" si="7"/>
        <v>2022</v>
      </c>
      <c r="T23" s="149">
        <f t="shared" si="7"/>
        <v>2023</v>
      </c>
      <c r="U23" s="149">
        <f t="shared" si="7"/>
        <v>2024</v>
      </c>
      <c r="V23" s="149">
        <f t="shared" si="7"/>
        <v>2025</v>
      </c>
      <c r="W23" s="149">
        <f t="shared" si="7"/>
        <v>2026</v>
      </c>
      <c r="X23" s="149">
        <f t="shared" si="7"/>
        <v>2027</v>
      </c>
      <c r="Y23" s="149">
        <f t="shared" si="7"/>
        <v>2028</v>
      </c>
      <c r="Z23" s="149">
        <f t="shared" si="7"/>
        <v>2029</v>
      </c>
      <c r="AA23" s="149">
        <f>Z23+1</f>
        <v>2030</v>
      </c>
    </row>
    <row r="24" spans="2:31" hidden="1">
      <c r="B24" s="163">
        <f t="shared" si="2"/>
        <v>43343</v>
      </c>
      <c r="C24" s="163">
        <f t="shared" si="3"/>
        <v>43373</v>
      </c>
      <c r="D24" s="192"/>
      <c r="E24" s="166"/>
      <c r="F24" s="192">
        <f t="shared" ref="F24:F85" si="8">F23-E23+D23</f>
        <v>0</v>
      </c>
      <c r="G24" s="164">
        <f t="shared" si="5"/>
        <v>0</v>
      </c>
      <c r="H24" s="164"/>
      <c r="I24" s="192">
        <f t="shared" si="6"/>
        <v>0</v>
      </c>
      <c r="K24" s="152">
        <f t="shared" si="4"/>
        <v>0</v>
      </c>
      <c r="N24" s="157" t="s">
        <v>33</v>
      </c>
      <c r="O24" s="152">
        <f>L28</f>
        <v>0</v>
      </c>
      <c r="P24" s="152">
        <f>L40</f>
        <v>0</v>
      </c>
      <c r="Q24" s="152">
        <f>L52</f>
        <v>0</v>
      </c>
      <c r="R24" s="152">
        <f>L64</f>
        <v>166669.68</v>
      </c>
      <c r="S24" s="152">
        <f>L76</f>
        <v>100000</v>
      </c>
      <c r="T24" s="152">
        <f>L88</f>
        <v>300000</v>
      </c>
      <c r="U24" s="152">
        <f>L100</f>
        <v>300000</v>
      </c>
      <c r="V24" s="152">
        <f>L112</f>
        <v>300000</v>
      </c>
      <c r="W24" s="152">
        <f>L124</f>
        <v>300000</v>
      </c>
      <c r="X24" s="152">
        <f>L136</f>
        <v>420000</v>
      </c>
      <c r="Y24" s="152">
        <f>L148</f>
        <v>600000</v>
      </c>
      <c r="Z24" s="152">
        <f>L160</f>
        <v>600000</v>
      </c>
      <c r="AA24" s="152">
        <f>L162</f>
        <v>0</v>
      </c>
      <c r="AB24" s="152"/>
      <c r="AC24" s="152"/>
      <c r="AE24" s="152">
        <f>SUM(O24:AD24)</f>
        <v>3086669.6799999997</v>
      </c>
    </row>
    <row r="25" spans="2:31" hidden="1">
      <c r="B25" s="163">
        <f t="shared" si="2"/>
        <v>43373</v>
      </c>
      <c r="C25" s="163">
        <f>B26</f>
        <v>43404</v>
      </c>
      <c r="D25" s="164"/>
      <c r="E25" s="165"/>
      <c r="F25" s="192">
        <f t="shared" si="8"/>
        <v>0</v>
      </c>
      <c r="G25" s="164">
        <f t="shared" si="5"/>
        <v>0</v>
      </c>
      <c r="H25" s="164"/>
      <c r="I25" s="192">
        <f t="shared" si="6"/>
        <v>0</v>
      </c>
      <c r="N25" s="157" t="s">
        <v>31</v>
      </c>
      <c r="O25" s="152">
        <f>M28</f>
        <v>0</v>
      </c>
      <c r="P25" s="152">
        <f>M40</f>
        <v>0</v>
      </c>
      <c r="Q25" s="152">
        <f>M52</f>
        <v>0</v>
      </c>
      <c r="R25" s="152">
        <f>M64</f>
        <v>212199.4</v>
      </c>
      <c r="S25" s="152">
        <f>M76</f>
        <v>173866.49</v>
      </c>
      <c r="T25" s="152">
        <f>M88</f>
        <v>505175.95999999996</v>
      </c>
      <c r="U25" s="152">
        <f>M100</f>
        <v>484074.19999999995</v>
      </c>
      <c r="V25" s="152">
        <f>M112</f>
        <v>460280.95999999996</v>
      </c>
      <c r="W25" s="152">
        <f>M124</f>
        <v>437833.45999999996</v>
      </c>
      <c r="X25" s="152">
        <f>M136</f>
        <v>411251.11</v>
      </c>
      <c r="Y25" s="152">
        <f>M148</f>
        <v>374692.33</v>
      </c>
      <c r="Z25" s="152">
        <f>M160</f>
        <v>328727.32000000007</v>
      </c>
      <c r="AA25" s="152">
        <f>M162</f>
        <v>0</v>
      </c>
      <c r="AB25" s="152"/>
      <c r="AC25" s="152"/>
      <c r="AE25" s="152">
        <f>SUM(O25:AD25)</f>
        <v>3388101.2299999995</v>
      </c>
    </row>
    <row r="26" spans="2:31" hidden="1">
      <c r="B26" s="163">
        <f t="shared" si="2"/>
        <v>43404</v>
      </c>
      <c r="C26" s="163">
        <f>B27</f>
        <v>43434</v>
      </c>
      <c r="D26" s="164">
        <v>0</v>
      </c>
      <c r="E26" s="166"/>
      <c r="F26" s="192">
        <f t="shared" si="8"/>
        <v>0</v>
      </c>
      <c r="G26" s="164">
        <f t="shared" si="5"/>
        <v>0</v>
      </c>
      <c r="H26" s="164"/>
      <c r="I26" s="192">
        <f t="shared" si="6"/>
        <v>0</v>
      </c>
      <c r="K26" s="152">
        <f>I26/4.5</f>
        <v>0</v>
      </c>
    </row>
    <row r="27" spans="2:31" hidden="1">
      <c r="B27" s="163">
        <f t="shared" si="2"/>
        <v>43434</v>
      </c>
      <c r="C27" s="163">
        <f>B28</f>
        <v>43465</v>
      </c>
      <c r="D27" s="192">
        <v>0</v>
      </c>
      <c r="E27" s="166"/>
      <c r="F27" s="192">
        <f t="shared" si="8"/>
        <v>0</v>
      </c>
      <c r="G27" s="164">
        <f t="shared" si="5"/>
        <v>0</v>
      </c>
      <c r="H27" s="164"/>
      <c r="I27" s="192">
        <f t="shared" si="6"/>
        <v>0</v>
      </c>
      <c r="K27" s="152">
        <f>I27/4.5</f>
        <v>0</v>
      </c>
    </row>
    <row r="28" spans="2:31" s="171" customFormat="1" hidden="1">
      <c r="B28" s="168">
        <f t="shared" si="2"/>
        <v>43465</v>
      </c>
      <c r="C28" s="168" t="e">
        <f>#REF!</f>
        <v>#REF!</v>
      </c>
      <c r="D28" s="193"/>
      <c r="E28" s="169"/>
      <c r="F28" s="194">
        <f t="shared" si="8"/>
        <v>0</v>
      </c>
      <c r="G28" s="170">
        <f t="shared" si="5"/>
        <v>0</v>
      </c>
      <c r="H28" s="170"/>
      <c r="I28" s="194">
        <f t="shared" si="6"/>
        <v>0</v>
      </c>
      <c r="K28" s="172">
        <f t="shared" ref="K28" si="9">I28/4.5</f>
        <v>0</v>
      </c>
      <c r="L28" s="172">
        <f>SUM(E17:E28)</f>
        <v>0</v>
      </c>
      <c r="M28" s="172">
        <f>SUM(G17:G28)</f>
        <v>0</v>
      </c>
      <c r="O28" s="172"/>
    </row>
    <row r="29" spans="2:31" hidden="1">
      <c r="B29" s="163">
        <f t="shared" si="2"/>
        <v>43496</v>
      </c>
      <c r="C29" s="163">
        <f>B30</f>
        <v>43524</v>
      </c>
      <c r="D29" s="164"/>
      <c r="E29" s="166"/>
      <c r="F29" s="192">
        <f t="shared" si="8"/>
        <v>0</v>
      </c>
      <c r="G29" s="164">
        <f>ROUND((B29-B28)*$E$8*F29/360,2)</f>
        <v>0</v>
      </c>
      <c r="H29" s="164"/>
      <c r="I29" s="192">
        <f t="shared" si="6"/>
        <v>0</v>
      </c>
    </row>
    <row r="30" spans="2:31" hidden="1">
      <c r="B30" s="163">
        <f t="shared" si="2"/>
        <v>43524</v>
      </c>
      <c r="C30" s="163">
        <f>B31</f>
        <v>43555</v>
      </c>
      <c r="D30" s="164"/>
      <c r="E30" s="166"/>
      <c r="F30" s="192">
        <f t="shared" si="8"/>
        <v>0</v>
      </c>
      <c r="G30" s="164">
        <f t="shared" si="5"/>
        <v>0</v>
      </c>
      <c r="H30" s="164"/>
      <c r="I30" s="192">
        <f t="shared" si="6"/>
        <v>0</v>
      </c>
      <c r="K30" s="152">
        <f>I30/4.5</f>
        <v>0</v>
      </c>
    </row>
    <row r="31" spans="2:31" hidden="1">
      <c r="B31" s="163">
        <f t="shared" si="2"/>
        <v>43555</v>
      </c>
      <c r="C31" s="163">
        <f>B32</f>
        <v>43585</v>
      </c>
      <c r="D31" s="192">
        <v>0</v>
      </c>
      <c r="E31" s="166"/>
      <c r="F31" s="192">
        <f t="shared" si="8"/>
        <v>0</v>
      </c>
      <c r="G31" s="164">
        <f t="shared" si="5"/>
        <v>0</v>
      </c>
      <c r="H31" s="164"/>
      <c r="I31" s="192">
        <f t="shared" si="6"/>
        <v>0</v>
      </c>
      <c r="K31" s="152">
        <f>I31/4.5</f>
        <v>0</v>
      </c>
      <c r="M31" s="152"/>
    </row>
    <row r="32" spans="2:31" hidden="1">
      <c r="B32" s="163">
        <f t="shared" si="2"/>
        <v>43585</v>
      </c>
      <c r="C32" s="163">
        <f t="shared" ref="C32:C95" si="10">B33</f>
        <v>43616</v>
      </c>
      <c r="D32" s="167">
        <v>0</v>
      </c>
      <c r="E32" s="166"/>
      <c r="F32" s="192">
        <f t="shared" si="8"/>
        <v>0</v>
      </c>
      <c r="G32" s="164">
        <f t="shared" si="5"/>
        <v>0</v>
      </c>
      <c r="H32" s="164"/>
      <c r="I32" s="192">
        <f t="shared" si="6"/>
        <v>0</v>
      </c>
      <c r="K32" s="152">
        <f t="shared" ref="K32:K95" si="11">I32/4.5</f>
        <v>0</v>
      </c>
      <c r="M32" s="152"/>
    </row>
    <row r="33" spans="1:30" hidden="1">
      <c r="B33" s="163">
        <f t="shared" si="2"/>
        <v>43616</v>
      </c>
      <c r="C33" s="163">
        <f t="shared" si="10"/>
        <v>43646</v>
      </c>
      <c r="D33" s="163"/>
      <c r="E33" s="166"/>
      <c r="F33" s="166">
        <f t="shared" si="8"/>
        <v>0</v>
      </c>
      <c r="G33" s="164">
        <f t="shared" si="5"/>
        <v>0</v>
      </c>
      <c r="H33" s="164"/>
      <c r="I33" s="192">
        <f t="shared" si="6"/>
        <v>0</v>
      </c>
      <c r="K33" s="152">
        <f t="shared" si="11"/>
        <v>0</v>
      </c>
    </row>
    <row r="34" spans="1:30" hidden="1">
      <c r="B34" s="163">
        <f t="shared" si="2"/>
        <v>43646</v>
      </c>
      <c r="C34" s="163">
        <f t="shared" si="10"/>
        <v>43677</v>
      </c>
      <c r="D34" s="167"/>
      <c r="E34" s="166"/>
      <c r="F34" s="166">
        <f t="shared" si="8"/>
        <v>0</v>
      </c>
      <c r="G34" s="164">
        <f t="shared" si="5"/>
        <v>0</v>
      </c>
      <c r="H34" s="164"/>
      <c r="I34" s="192">
        <f t="shared" si="6"/>
        <v>0</v>
      </c>
      <c r="K34" s="152">
        <f t="shared" si="11"/>
        <v>0</v>
      </c>
    </row>
    <row r="35" spans="1:30" hidden="1">
      <c r="B35" s="163">
        <f t="shared" si="2"/>
        <v>43677</v>
      </c>
      <c r="C35" s="163">
        <f t="shared" si="10"/>
        <v>43708</v>
      </c>
      <c r="D35" s="167"/>
      <c r="E35" s="166"/>
      <c r="F35" s="166">
        <f>F34-E34+D34</f>
        <v>0</v>
      </c>
      <c r="G35" s="164">
        <f t="shared" si="5"/>
        <v>0</v>
      </c>
      <c r="H35" s="164"/>
      <c r="I35" s="192">
        <f t="shared" si="6"/>
        <v>0</v>
      </c>
      <c r="K35" s="152">
        <f t="shared" si="11"/>
        <v>0</v>
      </c>
    </row>
    <row r="36" spans="1:30" hidden="1">
      <c r="B36" s="163">
        <f t="shared" si="2"/>
        <v>43708</v>
      </c>
      <c r="C36" s="163">
        <f t="shared" si="10"/>
        <v>43738</v>
      </c>
      <c r="D36" s="163"/>
      <c r="E36" s="166">
        <v>0</v>
      </c>
      <c r="F36" s="166">
        <f>F35-E35+D35</f>
        <v>0</v>
      </c>
      <c r="G36" s="164">
        <f t="shared" si="5"/>
        <v>0</v>
      </c>
      <c r="H36" s="164"/>
      <c r="I36" s="192">
        <f>E36+G36</f>
        <v>0</v>
      </c>
      <c r="K36" s="152">
        <f t="shared" si="11"/>
        <v>0</v>
      </c>
      <c r="L36" s="185"/>
      <c r="M36" s="185"/>
    </row>
    <row r="37" spans="1:30" hidden="1">
      <c r="B37" s="163">
        <f t="shared" si="2"/>
        <v>43738</v>
      </c>
      <c r="C37" s="163">
        <f t="shared" si="10"/>
        <v>43769</v>
      </c>
      <c r="D37" s="209"/>
      <c r="E37" s="166">
        <f>E36</f>
        <v>0</v>
      </c>
      <c r="F37" s="166">
        <f t="shared" si="8"/>
        <v>0</v>
      </c>
      <c r="G37" s="164">
        <f t="shared" si="5"/>
        <v>0</v>
      </c>
      <c r="H37" s="164"/>
      <c r="I37" s="192">
        <f t="shared" si="6"/>
        <v>0</v>
      </c>
      <c r="K37" s="152">
        <f t="shared" si="11"/>
        <v>0</v>
      </c>
      <c r="L37" s="185"/>
      <c r="M37" s="185"/>
    </row>
    <row r="38" spans="1:30" hidden="1">
      <c r="B38" s="163">
        <f t="shared" si="2"/>
        <v>43769</v>
      </c>
      <c r="C38" s="163">
        <f t="shared" si="10"/>
        <v>43799</v>
      </c>
      <c r="D38" s="167"/>
      <c r="E38" s="166">
        <f t="shared" ref="E38:E100" si="12">E37</f>
        <v>0</v>
      </c>
      <c r="F38" s="166">
        <f t="shared" si="8"/>
        <v>0</v>
      </c>
      <c r="G38" s="164">
        <f t="shared" si="5"/>
        <v>0</v>
      </c>
      <c r="H38" s="164"/>
      <c r="I38" s="192">
        <f t="shared" si="6"/>
        <v>0</v>
      </c>
      <c r="K38" s="152">
        <f t="shared" si="11"/>
        <v>0</v>
      </c>
      <c r="L38" s="185"/>
      <c r="M38" s="185"/>
    </row>
    <row r="39" spans="1:30" hidden="1">
      <c r="B39" s="163">
        <f t="shared" si="2"/>
        <v>43799</v>
      </c>
      <c r="C39" s="163">
        <f t="shared" si="10"/>
        <v>43830</v>
      </c>
      <c r="D39" s="167"/>
      <c r="E39" s="166">
        <f t="shared" si="12"/>
        <v>0</v>
      </c>
      <c r="F39" s="166">
        <f t="shared" si="8"/>
        <v>0</v>
      </c>
      <c r="G39" s="164">
        <f t="shared" si="5"/>
        <v>0</v>
      </c>
      <c r="H39" s="164"/>
      <c r="I39" s="192">
        <f t="shared" si="6"/>
        <v>0</v>
      </c>
      <c r="K39" s="152">
        <f t="shared" si="11"/>
        <v>0</v>
      </c>
      <c r="L39" s="185"/>
      <c r="M39" s="185"/>
    </row>
    <row r="40" spans="1:30" s="171" customFormat="1" hidden="1">
      <c r="B40" s="168">
        <f t="shared" si="2"/>
        <v>43830</v>
      </c>
      <c r="C40" s="168">
        <f t="shared" si="10"/>
        <v>43861</v>
      </c>
      <c r="D40" s="193"/>
      <c r="E40" s="169">
        <f t="shared" si="12"/>
        <v>0</v>
      </c>
      <c r="F40" s="169">
        <f t="shared" si="8"/>
        <v>0</v>
      </c>
      <c r="G40" s="170">
        <f t="shared" si="5"/>
        <v>0</v>
      </c>
      <c r="H40" s="170"/>
      <c r="I40" s="194">
        <f t="shared" si="6"/>
        <v>0</v>
      </c>
      <c r="K40" s="172">
        <f t="shared" si="11"/>
        <v>0</v>
      </c>
      <c r="L40" s="172">
        <f>SUM(E29:E40)</f>
        <v>0</v>
      </c>
      <c r="M40" s="172">
        <f>SUM(G29:G40)</f>
        <v>0</v>
      </c>
    </row>
    <row r="41" spans="1:30" s="176" customFormat="1" hidden="1">
      <c r="B41" s="173">
        <f t="shared" si="2"/>
        <v>43861</v>
      </c>
      <c r="C41" s="173">
        <f t="shared" si="10"/>
        <v>43890</v>
      </c>
      <c r="D41" s="173"/>
      <c r="E41" s="174">
        <f t="shared" si="12"/>
        <v>0</v>
      </c>
      <c r="F41" s="174">
        <f>F40-E40+D40</f>
        <v>0</v>
      </c>
      <c r="G41" s="175">
        <f>ROUND((B41-B40)*$E$8*F41/360,2)</f>
        <v>0</v>
      </c>
      <c r="H41" s="175"/>
      <c r="I41" s="195">
        <f t="shared" si="6"/>
        <v>0</v>
      </c>
      <c r="J41" s="149"/>
      <c r="K41" s="152">
        <f t="shared" si="11"/>
        <v>0</v>
      </c>
      <c r="L41" s="185"/>
      <c r="M41" s="185"/>
      <c r="N41" s="149"/>
      <c r="O41" s="152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</row>
    <row r="42" spans="1:30" s="176" customFormat="1" hidden="1">
      <c r="B42" s="173">
        <f t="shared" si="2"/>
        <v>43890</v>
      </c>
      <c r="C42" s="173">
        <f t="shared" si="10"/>
        <v>43921</v>
      </c>
      <c r="D42" s="205">
        <v>0</v>
      </c>
      <c r="E42" s="174">
        <f t="shared" si="12"/>
        <v>0</v>
      </c>
      <c r="F42" s="174">
        <f t="shared" si="8"/>
        <v>0</v>
      </c>
      <c r="G42" s="175">
        <f>ROUND((B42-B41)*$E$8*F42/360,2)</f>
        <v>0</v>
      </c>
      <c r="H42" s="175"/>
      <c r="I42" s="195">
        <f t="shared" si="6"/>
        <v>0</v>
      </c>
      <c r="J42" s="149"/>
      <c r="K42" s="152">
        <f t="shared" si="11"/>
        <v>0</v>
      </c>
      <c r="L42" s="185"/>
      <c r="M42" s="185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</row>
    <row r="43" spans="1:30" s="176" customFormat="1" hidden="1">
      <c r="A43" s="176">
        <v>1</v>
      </c>
      <c r="B43" s="173">
        <f t="shared" si="2"/>
        <v>43921</v>
      </c>
      <c r="C43" s="173">
        <f t="shared" si="10"/>
        <v>43951</v>
      </c>
      <c r="D43" s="205"/>
      <c r="E43" s="174">
        <f t="shared" si="12"/>
        <v>0</v>
      </c>
      <c r="F43" s="174">
        <f t="shared" si="8"/>
        <v>0</v>
      </c>
      <c r="G43" s="175">
        <f t="shared" si="5"/>
        <v>0</v>
      </c>
      <c r="H43" s="175"/>
      <c r="I43" s="195">
        <f t="shared" si="6"/>
        <v>0</v>
      </c>
      <c r="J43" s="149"/>
      <c r="K43" s="152">
        <f t="shared" si="11"/>
        <v>0</v>
      </c>
      <c r="L43" s="185"/>
      <c r="M43" s="185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</row>
    <row r="44" spans="1:30" s="176" customFormat="1" hidden="1">
      <c r="A44" s="176">
        <f>A43+1</f>
        <v>2</v>
      </c>
      <c r="B44" s="173">
        <f t="shared" si="2"/>
        <v>43951</v>
      </c>
      <c r="C44" s="173">
        <f t="shared" si="10"/>
        <v>43982</v>
      </c>
      <c r="D44" s="205">
        <v>0</v>
      </c>
      <c r="E44" s="174">
        <f t="shared" si="12"/>
        <v>0</v>
      </c>
      <c r="F44" s="174">
        <f t="shared" si="8"/>
        <v>0</v>
      </c>
      <c r="G44" s="175">
        <f t="shared" si="5"/>
        <v>0</v>
      </c>
      <c r="H44" s="175"/>
      <c r="I44" s="195">
        <f t="shared" si="6"/>
        <v>0</v>
      </c>
      <c r="J44" s="149"/>
      <c r="K44" s="152">
        <f t="shared" si="11"/>
        <v>0</v>
      </c>
      <c r="L44" s="185"/>
      <c r="M44" s="185"/>
      <c r="N44" s="152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</row>
    <row r="45" spans="1:30" s="176" customFormat="1" hidden="1">
      <c r="A45" s="176">
        <f t="shared" ref="A45:A47" si="13">A44+1</f>
        <v>3</v>
      </c>
      <c r="B45" s="173">
        <f t="shared" si="2"/>
        <v>43982</v>
      </c>
      <c r="C45" s="173">
        <f t="shared" si="10"/>
        <v>44012</v>
      </c>
      <c r="D45" s="205"/>
      <c r="E45" s="174">
        <f t="shared" si="12"/>
        <v>0</v>
      </c>
      <c r="F45" s="174">
        <f t="shared" si="8"/>
        <v>0</v>
      </c>
      <c r="G45" s="175">
        <f t="shared" si="5"/>
        <v>0</v>
      </c>
      <c r="H45" s="175"/>
      <c r="I45" s="195">
        <f t="shared" si="6"/>
        <v>0</v>
      </c>
      <c r="J45" s="149"/>
      <c r="K45" s="152">
        <f t="shared" si="11"/>
        <v>0</v>
      </c>
      <c r="L45" s="185"/>
      <c r="M45" s="185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</row>
    <row r="46" spans="1:30" s="176" customFormat="1" hidden="1">
      <c r="A46" s="176">
        <f t="shared" si="13"/>
        <v>4</v>
      </c>
      <c r="B46" s="173">
        <f t="shared" si="2"/>
        <v>44012</v>
      </c>
      <c r="C46" s="173">
        <f t="shared" si="10"/>
        <v>44043</v>
      </c>
      <c r="D46" s="205">
        <v>0</v>
      </c>
      <c r="E46" s="174">
        <f t="shared" si="12"/>
        <v>0</v>
      </c>
      <c r="F46" s="174">
        <f t="shared" si="8"/>
        <v>0</v>
      </c>
      <c r="G46" s="175">
        <f t="shared" si="5"/>
        <v>0</v>
      </c>
      <c r="H46" s="175"/>
      <c r="I46" s="195">
        <f t="shared" si="6"/>
        <v>0</v>
      </c>
      <c r="J46" s="149"/>
      <c r="K46" s="152">
        <f t="shared" si="11"/>
        <v>0</v>
      </c>
      <c r="L46" s="185"/>
      <c r="M46" s="185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</row>
    <row r="47" spans="1:30" s="176" customFormat="1" hidden="1">
      <c r="A47" s="176">
        <f t="shared" si="13"/>
        <v>5</v>
      </c>
      <c r="B47" s="173">
        <f t="shared" si="2"/>
        <v>44043</v>
      </c>
      <c r="C47" s="173">
        <f t="shared" si="10"/>
        <v>44074</v>
      </c>
      <c r="D47" s="173"/>
      <c r="E47" s="174">
        <v>0</v>
      </c>
      <c r="F47" s="174">
        <f t="shared" si="8"/>
        <v>0</v>
      </c>
      <c r="G47" s="175">
        <f t="shared" si="5"/>
        <v>0</v>
      </c>
      <c r="H47" s="175"/>
      <c r="I47" s="195">
        <f t="shared" si="6"/>
        <v>0</v>
      </c>
      <c r="J47" s="149"/>
      <c r="K47" s="152">
        <f t="shared" si="11"/>
        <v>0</v>
      </c>
      <c r="L47" s="185"/>
      <c r="M47" s="185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</row>
    <row r="48" spans="1:30" s="176" customFormat="1" hidden="1">
      <c r="A48" s="176">
        <v>1</v>
      </c>
      <c r="B48" s="178">
        <f t="shared" si="2"/>
        <v>44074</v>
      </c>
      <c r="C48" s="173">
        <f t="shared" si="10"/>
        <v>44104</v>
      </c>
      <c r="D48" s="173"/>
      <c r="E48" s="174"/>
      <c r="F48" s="174">
        <f t="shared" si="8"/>
        <v>0</v>
      </c>
      <c r="G48" s="175">
        <f t="shared" si="5"/>
        <v>0</v>
      </c>
      <c r="H48" s="175"/>
      <c r="I48" s="195">
        <f t="shared" si="6"/>
        <v>0</v>
      </c>
      <c r="J48" s="149"/>
      <c r="K48" s="152">
        <f t="shared" si="11"/>
        <v>0</v>
      </c>
      <c r="L48" s="185"/>
      <c r="M48" s="185"/>
      <c r="N48" s="149">
        <v>2927590.77</v>
      </c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</row>
    <row r="49" spans="1:30" s="176" customFormat="1" hidden="1">
      <c r="A49" s="176">
        <f>A48+1</f>
        <v>2</v>
      </c>
      <c r="B49" s="173">
        <f t="shared" si="2"/>
        <v>44104</v>
      </c>
      <c r="C49" s="173">
        <f t="shared" si="10"/>
        <v>44135</v>
      </c>
      <c r="D49" s="173"/>
      <c r="E49" s="174"/>
      <c r="F49" s="174">
        <f t="shared" si="8"/>
        <v>0</v>
      </c>
      <c r="G49" s="175">
        <f t="shared" si="5"/>
        <v>0</v>
      </c>
      <c r="H49" s="175"/>
      <c r="I49" s="195">
        <f t="shared" si="6"/>
        <v>0</v>
      </c>
      <c r="J49" s="149"/>
      <c r="K49" s="152">
        <f t="shared" si="11"/>
        <v>0</v>
      </c>
      <c r="L49" s="185"/>
      <c r="M49" s="185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</row>
    <row r="50" spans="1:30" s="176" customFormat="1" hidden="1">
      <c r="A50" s="176">
        <f t="shared" ref="A50:A113" si="14">A49+1</f>
        <v>3</v>
      </c>
      <c r="B50" s="173">
        <f t="shared" si="2"/>
        <v>44135</v>
      </c>
      <c r="C50" s="173">
        <f t="shared" si="10"/>
        <v>44165</v>
      </c>
      <c r="D50" s="173"/>
      <c r="E50" s="174"/>
      <c r="F50" s="174">
        <f t="shared" si="8"/>
        <v>0</v>
      </c>
      <c r="G50" s="175">
        <f t="shared" si="5"/>
        <v>0</v>
      </c>
      <c r="H50" s="175"/>
      <c r="I50" s="195">
        <f t="shared" si="6"/>
        <v>0</v>
      </c>
      <c r="J50" s="149"/>
      <c r="K50" s="152">
        <f t="shared" si="11"/>
        <v>0</v>
      </c>
      <c r="L50" s="185"/>
      <c r="M50" s="185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</row>
    <row r="51" spans="1:30" s="176" customFormat="1" hidden="1">
      <c r="A51" s="176">
        <f t="shared" si="14"/>
        <v>4</v>
      </c>
      <c r="B51" s="173">
        <f t="shared" si="2"/>
        <v>44165</v>
      </c>
      <c r="C51" s="173">
        <f t="shared" si="10"/>
        <v>44196</v>
      </c>
      <c r="D51" s="173"/>
      <c r="E51" s="174"/>
      <c r="F51" s="174">
        <f t="shared" si="8"/>
        <v>0</v>
      </c>
      <c r="G51" s="175">
        <f t="shared" si="5"/>
        <v>0</v>
      </c>
      <c r="H51" s="175"/>
      <c r="I51" s="195">
        <f t="shared" si="6"/>
        <v>0</v>
      </c>
      <c r="J51" s="149"/>
      <c r="K51" s="152">
        <f t="shared" si="11"/>
        <v>0</v>
      </c>
      <c r="L51" s="185"/>
      <c r="M51" s="185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</row>
    <row r="52" spans="1:30" s="171" customFormat="1" hidden="1">
      <c r="A52" s="176">
        <f t="shared" si="14"/>
        <v>5</v>
      </c>
      <c r="B52" s="168">
        <f t="shared" si="2"/>
        <v>44196</v>
      </c>
      <c r="C52" s="168">
        <f t="shared" si="10"/>
        <v>44227</v>
      </c>
      <c r="D52" s="168"/>
      <c r="E52" s="169"/>
      <c r="F52" s="169">
        <f t="shared" si="8"/>
        <v>0</v>
      </c>
      <c r="G52" s="170">
        <f t="shared" si="5"/>
        <v>0</v>
      </c>
      <c r="H52" s="170"/>
      <c r="I52" s="194">
        <f t="shared" si="6"/>
        <v>0</v>
      </c>
      <c r="K52" s="172">
        <f t="shared" si="11"/>
        <v>0</v>
      </c>
      <c r="L52" s="172">
        <f>SUM(E41:E52)</f>
        <v>0</v>
      </c>
      <c r="M52" s="172">
        <f>SUM(G41:G52)</f>
        <v>0</v>
      </c>
    </row>
    <row r="53" spans="1:30" s="176" customFormat="1" hidden="1">
      <c r="A53" s="176">
        <f t="shared" si="14"/>
        <v>6</v>
      </c>
      <c r="B53" s="173">
        <f t="shared" si="2"/>
        <v>44227</v>
      </c>
      <c r="C53" s="173">
        <f t="shared" si="10"/>
        <v>44255</v>
      </c>
      <c r="D53" s="211"/>
      <c r="E53" s="174"/>
      <c r="F53" s="174">
        <f t="shared" si="8"/>
        <v>0</v>
      </c>
      <c r="G53" s="175">
        <f t="shared" si="5"/>
        <v>0</v>
      </c>
      <c r="H53" s="175"/>
      <c r="I53" s="195">
        <f t="shared" si="6"/>
        <v>0</v>
      </c>
      <c r="J53" s="149"/>
      <c r="K53" s="152">
        <f t="shared" si="11"/>
        <v>0</v>
      </c>
      <c r="L53" s="185"/>
      <c r="M53" s="185"/>
      <c r="N53" s="152"/>
      <c r="O53" s="152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</row>
    <row r="54" spans="1:30" s="176" customFormat="1" hidden="1">
      <c r="A54" s="176">
        <f t="shared" si="14"/>
        <v>7</v>
      </c>
      <c r="B54" s="173">
        <f t="shared" si="2"/>
        <v>44255</v>
      </c>
      <c r="C54" s="173">
        <f t="shared" si="10"/>
        <v>44286</v>
      </c>
      <c r="D54" s="205"/>
      <c r="E54" s="174"/>
      <c r="F54" s="174">
        <f t="shared" si="8"/>
        <v>0</v>
      </c>
      <c r="G54" s="175">
        <f t="shared" si="5"/>
        <v>0</v>
      </c>
      <c r="H54" s="175"/>
      <c r="I54" s="195">
        <f t="shared" si="6"/>
        <v>0</v>
      </c>
      <c r="J54" s="149"/>
      <c r="K54" s="152">
        <f t="shared" si="11"/>
        <v>0</v>
      </c>
      <c r="L54" s="185"/>
      <c r="M54" s="185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</row>
    <row r="55" spans="1:30" s="176" customFormat="1" hidden="1">
      <c r="A55" s="176">
        <f t="shared" si="14"/>
        <v>8</v>
      </c>
      <c r="B55" s="173">
        <f t="shared" si="2"/>
        <v>44286</v>
      </c>
      <c r="C55" s="173">
        <f t="shared" si="10"/>
        <v>44316</v>
      </c>
      <c r="D55" s="205"/>
      <c r="E55" s="174"/>
      <c r="F55" s="174">
        <f t="shared" si="8"/>
        <v>0</v>
      </c>
      <c r="G55" s="175">
        <f t="shared" si="5"/>
        <v>0</v>
      </c>
      <c r="H55" s="175"/>
      <c r="I55" s="195">
        <f t="shared" si="6"/>
        <v>0</v>
      </c>
      <c r="J55" s="149"/>
      <c r="K55" s="152">
        <f t="shared" si="11"/>
        <v>0</v>
      </c>
      <c r="L55" s="185"/>
      <c r="M55" s="185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</row>
    <row r="56" spans="1:30" s="176" customFormat="1" hidden="1">
      <c r="A56" s="176">
        <f t="shared" si="14"/>
        <v>9</v>
      </c>
      <c r="B56" s="173">
        <f t="shared" si="2"/>
        <v>44316</v>
      </c>
      <c r="C56" s="173">
        <f t="shared" si="10"/>
        <v>44347</v>
      </c>
      <c r="D56" s="205">
        <v>2927590.77</v>
      </c>
      <c r="E56" s="174"/>
      <c r="F56" s="174">
        <f t="shared" si="8"/>
        <v>0</v>
      </c>
      <c r="G56" s="175">
        <f t="shared" si="5"/>
        <v>0</v>
      </c>
      <c r="H56" s="175"/>
      <c r="I56" s="195">
        <f t="shared" si="6"/>
        <v>0</v>
      </c>
      <c r="J56" s="149"/>
      <c r="K56" s="152">
        <f t="shared" si="11"/>
        <v>0</v>
      </c>
      <c r="L56" s="185"/>
      <c r="M56" s="185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</row>
    <row r="57" spans="1:30" s="176" customFormat="1" hidden="1">
      <c r="A57" s="176">
        <f t="shared" si="14"/>
        <v>10</v>
      </c>
      <c r="B57" s="173">
        <f t="shared" si="2"/>
        <v>44347</v>
      </c>
      <c r="C57" s="173">
        <f t="shared" si="10"/>
        <v>44377</v>
      </c>
      <c r="D57" s="205"/>
      <c r="E57" s="174"/>
      <c r="F57" s="174">
        <f t="shared" si="8"/>
        <v>2927590.77</v>
      </c>
      <c r="G57" s="175">
        <f t="shared" si="5"/>
        <v>18604.84</v>
      </c>
      <c r="H57" s="175"/>
      <c r="I57" s="195">
        <f t="shared" si="6"/>
        <v>18604.84</v>
      </c>
      <c r="J57" s="149"/>
      <c r="K57" s="152">
        <f t="shared" si="11"/>
        <v>4134.4088888888891</v>
      </c>
      <c r="L57" s="185"/>
      <c r="M57" s="185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</row>
    <row r="58" spans="1:30" s="176" customFormat="1" hidden="1">
      <c r="A58" s="176">
        <f t="shared" si="14"/>
        <v>11</v>
      </c>
      <c r="B58" s="173">
        <f t="shared" si="2"/>
        <v>44377</v>
      </c>
      <c r="C58" s="173">
        <f t="shared" si="10"/>
        <v>44408</v>
      </c>
      <c r="D58" s="205"/>
      <c r="E58" s="174"/>
      <c r="F58" s="174">
        <f t="shared" si="8"/>
        <v>2927590.77</v>
      </c>
      <c r="G58" s="175">
        <f t="shared" si="5"/>
        <v>18004.68</v>
      </c>
      <c r="H58" s="175"/>
      <c r="I58" s="195">
        <f t="shared" si="6"/>
        <v>18004.68</v>
      </c>
      <c r="J58" s="149"/>
      <c r="K58" s="152">
        <f t="shared" si="11"/>
        <v>4001.04</v>
      </c>
      <c r="L58" s="185"/>
      <c r="M58" s="185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</row>
    <row r="59" spans="1:30" s="176" customFormat="1" hidden="1">
      <c r="A59" s="176">
        <f t="shared" si="14"/>
        <v>12</v>
      </c>
      <c r="B59" s="173">
        <f t="shared" si="2"/>
        <v>44408</v>
      </c>
      <c r="C59" s="173">
        <f t="shared" si="10"/>
        <v>44439</v>
      </c>
      <c r="D59" s="205">
        <f>4500000-D56-1500000</f>
        <v>72409.229999999981</v>
      </c>
      <c r="E59" s="174"/>
      <c r="F59" s="174">
        <f t="shared" si="8"/>
        <v>2927590.77</v>
      </c>
      <c r="G59" s="175">
        <f t="shared" si="5"/>
        <v>18604.84</v>
      </c>
      <c r="H59" s="175"/>
      <c r="I59" s="195">
        <f t="shared" si="6"/>
        <v>18604.84</v>
      </c>
      <c r="J59" s="149"/>
      <c r="K59" s="152">
        <f t="shared" si="11"/>
        <v>4134.4088888888891</v>
      </c>
      <c r="L59" s="185"/>
      <c r="M59" s="185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</row>
    <row r="60" spans="1:30" s="176" customFormat="1" hidden="1">
      <c r="A60" s="176">
        <f t="shared" si="14"/>
        <v>13</v>
      </c>
      <c r="B60" s="173">
        <f t="shared" si="2"/>
        <v>44439</v>
      </c>
      <c r="C60" s="173">
        <f t="shared" si="10"/>
        <v>44469</v>
      </c>
      <c r="D60" s="205">
        <v>1500000</v>
      </c>
      <c r="E60" s="174">
        <v>41666.67</v>
      </c>
      <c r="F60" s="174">
        <f>F59-E59+D59+D60</f>
        <v>4500000</v>
      </c>
      <c r="G60" s="175">
        <f>ROUND((B60-B59)*$E$8*F60/360,2)</f>
        <v>28597.5</v>
      </c>
      <c r="H60" s="175"/>
      <c r="I60" s="195">
        <f t="shared" si="6"/>
        <v>70264.17</v>
      </c>
      <c r="J60" s="149"/>
      <c r="K60" s="152">
        <f t="shared" si="11"/>
        <v>15614.26</v>
      </c>
      <c r="L60" s="185"/>
      <c r="M60" s="185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</row>
    <row r="61" spans="1:30" s="176" customFormat="1" hidden="1">
      <c r="A61" s="176">
        <f t="shared" si="14"/>
        <v>14</v>
      </c>
      <c r="B61" s="173">
        <f t="shared" si="2"/>
        <v>44469</v>
      </c>
      <c r="C61" s="173">
        <f t="shared" si="10"/>
        <v>44500</v>
      </c>
      <c r="D61" s="173"/>
      <c r="E61" s="174">
        <f>E60</f>
        <v>41666.67</v>
      </c>
      <c r="F61" s="174">
        <f>F60-E60</f>
        <v>4458333.33</v>
      </c>
      <c r="G61" s="175">
        <f>ROUND((B61-B60)*$E$8*F61/360,2)</f>
        <v>27418.75</v>
      </c>
      <c r="H61" s="175"/>
      <c r="I61" s="195">
        <f t="shared" si="6"/>
        <v>69085.42</v>
      </c>
      <c r="J61" s="149"/>
      <c r="K61" s="152">
        <f t="shared" si="11"/>
        <v>15352.315555555555</v>
      </c>
      <c r="L61" s="185"/>
      <c r="M61" s="185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</row>
    <row r="62" spans="1:30" s="176" customFormat="1" hidden="1">
      <c r="A62" s="176">
        <f t="shared" si="14"/>
        <v>15</v>
      </c>
      <c r="B62" s="173">
        <f t="shared" si="2"/>
        <v>44500</v>
      </c>
      <c r="C62" s="173">
        <f t="shared" si="10"/>
        <v>44530</v>
      </c>
      <c r="D62" s="173"/>
      <c r="E62" s="174">
        <v>27778.78</v>
      </c>
      <c r="F62" s="174">
        <f t="shared" si="8"/>
        <v>4416666.66</v>
      </c>
      <c r="G62" s="175">
        <f t="shared" si="5"/>
        <v>28067.919999999998</v>
      </c>
      <c r="H62" s="175"/>
      <c r="I62" s="195">
        <f t="shared" si="6"/>
        <v>55846.7</v>
      </c>
      <c r="J62" s="149"/>
      <c r="K62" s="152">
        <f t="shared" si="11"/>
        <v>12410.377777777778</v>
      </c>
      <c r="L62" s="185"/>
      <c r="M62" s="185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</row>
    <row r="63" spans="1:30" s="176" customFormat="1" hidden="1">
      <c r="A63" s="176">
        <f t="shared" si="14"/>
        <v>16</v>
      </c>
      <c r="B63" s="173">
        <f t="shared" si="2"/>
        <v>44530</v>
      </c>
      <c r="C63" s="173">
        <f t="shared" si="10"/>
        <v>44561</v>
      </c>
      <c r="D63" s="205">
        <f>3000000-137000</f>
        <v>2863000</v>
      </c>
      <c r="E63" s="174">
        <f t="shared" si="12"/>
        <v>27778.78</v>
      </c>
      <c r="F63" s="174">
        <f t="shared" si="8"/>
        <v>4388887.88</v>
      </c>
      <c r="G63" s="175">
        <f t="shared" si="5"/>
        <v>26991.66</v>
      </c>
      <c r="H63" s="175"/>
      <c r="I63" s="195">
        <f t="shared" si="6"/>
        <v>54770.44</v>
      </c>
      <c r="J63" s="149"/>
      <c r="K63" s="152">
        <f t="shared" si="11"/>
        <v>12171.20888888889</v>
      </c>
      <c r="L63" s="185"/>
      <c r="M63" s="185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</row>
    <row r="64" spans="1:30" s="171" customFormat="1" hidden="1">
      <c r="A64" s="176">
        <f t="shared" si="14"/>
        <v>17</v>
      </c>
      <c r="B64" s="168">
        <f t="shared" si="2"/>
        <v>44561</v>
      </c>
      <c r="C64" s="168">
        <f t="shared" si="10"/>
        <v>44592</v>
      </c>
      <c r="D64" s="193">
        <v>137000</v>
      </c>
      <c r="E64" s="169">
        <f t="shared" si="12"/>
        <v>27778.78</v>
      </c>
      <c r="F64" s="169">
        <f t="shared" si="8"/>
        <v>7224109.0999999996</v>
      </c>
      <c r="G64" s="170">
        <f t="shared" si="5"/>
        <v>45909.21</v>
      </c>
      <c r="H64" s="170"/>
      <c r="I64" s="194">
        <f t="shared" si="6"/>
        <v>73687.989999999991</v>
      </c>
      <c r="K64" s="172">
        <f t="shared" si="11"/>
        <v>16375.108888888886</v>
      </c>
      <c r="L64" s="172">
        <f>SUM(E53:E64)</f>
        <v>166669.68</v>
      </c>
      <c r="M64" s="172">
        <f>SUM(G53:G64)</f>
        <v>212199.4</v>
      </c>
    </row>
    <row r="65" spans="1:30" s="176" customFormat="1">
      <c r="B65" s="173">
        <f t="shared" si="2"/>
        <v>44592</v>
      </c>
      <c r="C65" s="173">
        <f t="shared" si="10"/>
        <v>44620</v>
      </c>
      <c r="D65" s="205"/>
      <c r="E65" s="174"/>
      <c r="F65" s="174"/>
      <c r="G65" s="175">
        <f t="shared" si="5"/>
        <v>0</v>
      </c>
      <c r="H65" s="175"/>
      <c r="I65" s="195">
        <f t="shared" si="6"/>
        <v>0</v>
      </c>
      <c r="J65" s="149"/>
      <c r="K65" s="152">
        <f t="shared" si="11"/>
        <v>0</v>
      </c>
      <c r="L65" s="185"/>
      <c r="M65" s="185"/>
      <c r="N65" s="152">
        <f>L76</f>
        <v>100000</v>
      </c>
      <c r="O65" s="152">
        <f>L88</f>
        <v>300000</v>
      </c>
      <c r="P65" s="152">
        <f>L100</f>
        <v>300000</v>
      </c>
      <c r="Q65" s="152">
        <f>L112</f>
        <v>300000</v>
      </c>
      <c r="R65" s="152">
        <f>L124</f>
        <v>300000</v>
      </c>
      <c r="S65" s="152">
        <f>L136</f>
        <v>420000</v>
      </c>
      <c r="T65" s="152">
        <f>L148</f>
        <v>600000</v>
      </c>
      <c r="U65" s="152">
        <f>L160</f>
        <v>600000</v>
      </c>
      <c r="V65" s="152">
        <f>L172</f>
        <v>600000</v>
      </c>
      <c r="W65" s="152">
        <f>L184</f>
        <v>960000</v>
      </c>
      <c r="X65" s="152">
        <f>L196</f>
        <v>960000</v>
      </c>
      <c r="Y65" s="152">
        <f>L208</f>
        <v>1080000</v>
      </c>
      <c r="Z65" s="152">
        <f>L214</f>
        <v>469583.3</v>
      </c>
      <c r="AA65" s="149"/>
      <c r="AB65" s="149"/>
      <c r="AC65" s="152">
        <f>SUM(N65:AB65)</f>
        <v>6989583.2999999998</v>
      </c>
      <c r="AD65" s="149"/>
    </row>
    <row r="66" spans="1:30" s="176" customFormat="1">
      <c r="B66" s="173">
        <f t="shared" si="2"/>
        <v>44620</v>
      </c>
      <c r="C66" s="173">
        <f t="shared" si="10"/>
        <v>44651</v>
      </c>
      <c r="D66" s="173"/>
      <c r="E66" s="174"/>
      <c r="F66" s="174"/>
      <c r="G66" s="175">
        <f t="shared" si="5"/>
        <v>0</v>
      </c>
      <c r="H66" s="175"/>
      <c r="I66" s="195">
        <f t="shared" si="6"/>
        <v>0</v>
      </c>
      <c r="J66" s="149"/>
      <c r="K66" s="152">
        <f t="shared" si="11"/>
        <v>0</v>
      </c>
      <c r="L66" s="185"/>
      <c r="M66" s="185"/>
      <c r="N66" s="152">
        <f>M76</f>
        <v>173866.49</v>
      </c>
      <c r="O66" s="152">
        <f>M88</f>
        <v>505175.95999999996</v>
      </c>
      <c r="P66" s="152">
        <f>M100</f>
        <v>484074.19999999995</v>
      </c>
      <c r="Q66" s="152">
        <f>M112</f>
        <v>460280.95999999996</v>
      </c>
      <c r="R66" s="152">
        <f>M124</f>
        <v>437833.45999999996</v>
      </c>
      <c r="S66" s="152">
        <f>M136</f>
        <v>411251.11</v>
      </c>
      <c r="T66" s="152">
        <f>M148</f>
        <v>374692.33</v>
      </c>
      <c r="U66" s="152">
        <f>M160</f>
        <v>328727.32000000007</v>
      </c>
      <c r="V66" s="152">
        <f>M172</f>
        <v>283832.32000000001</v>
      </c>
      <c r="W66" s="152">
        <f>M184</f>
        <v>226532.77</v>
      </c>
      <c r="X66" s="152">
        <f>M196</f>
        <v>155198.83000000002</v>
      </c>
      <c r="Y66" s="152">
        <f>M208</f>
        <v>78733.919999999998</v>
      </c>
      <c r="Z66" s="152">
        <f>M214</f>
        <v>9047.59</v>
      </c>
      <c r="AA66" s="149"/>
      <c r="AB66" s="149"/>
      <c r="AC66" s="152">
        <f>SUM(N66:AB66)</f>
        <v>3929247.26</v>
      </c>
      <c r="AD66" s="149"/>
    </row>
    <row r="67" spans="1:30" s="176" customFormat="1">
      <c r="B67" s="173">
        <f t="shared" si="2"/>
        <v>44651</v>
      </c>
      <c r="C67" s="173">
        <f t="shared" si="10"/>
        <v>44681</v>
      </c>
      <c r="D67" s="173"/>
      <c r="E67" s="174"/>
      <c r="F67" s="174"/>
      <c r="G67" s="175">
        <f t="shared" si="5"/>
        <v>0</v>
      </c>
      <c r="H67" s="175"/>
      <c r="I67" s="195">
        <f t="shared" si="6"/>
        <v>0</v>
      </c>
      <c r="J67" s="149"/>
      <c r="K67" s="152">
        <f t="shared" si="11"/>
        <v>0</v>
      </c>
      <c r="L67" s="185"/>
      <c r="M67" s="185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</row>
    <row r="68" spans="1:30" s="176" customFormat="1">
      <c r="B68" s="173">
        <f t="shared" si="2"/>
        <v>44681</v>
      </c>
      <c r="C68" s="173">
        <f t="shared" si="10"/>
        <v>44712</v>
      </c>
      <c r="D68" s="173"/>
      <c r="E68" s="174"/>
      <c r="F68" s="174"/>
      <c r="G68" s="175">
        <f t="shared" si="5"/>
        <v>0</v>
      </c>
      <c r="H68" s="175"/>
      <c r="I68" s="195">
        <f t="shared" si="6"/>
        <v>0</v>
      </c>
      <c r="J68" s="149"/>
      <c r="K68" s="152">
        <f t="shared" si="11"/>
        <v>0</v>
      </c>
      <c r="L68" s="185"/>
      <c r="M68" s="185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</row>
    <row r="69" spans="1:30" s="176" customFormat="1">
      <c r="B69" s="173">
        <f t="shared" si="2"/>
        <v>44712</v>
      </c>
      <c r="C69" s="173">
        <f t="shared" si="10"/>
        <v>44742</v>
      </c>
      <c r="D69" s="173"/>
      <c r="E69" s="174"/>
      <c r="F69" s="174"/>
      <c r="G69" s="175">
        <f t="shared" si="5"/>
        <v>0</v>
      </c>
      <c r="H69" s="175"/>
      <c r="I69" s="195">
        <f t="shared" si="6"/>
        <v>0</v>
      </c>
      <c r="J69" s="149"/>
      <c r="K69" s="152">
        <f t="shared" si="11"/>
        <v>0</v>
      </c>
      <c r="L69" s="185"/>
      <c r="M69" s="185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</row>
    <row r="70" spans="1:30" s="176" customFormat="1">
      <c r="B70" s="173">
        <f t="shared" si="2"/>
        <v>44742</v>
      </c>
      <c r="C70" s="173">
        <f t="shared" si="10"/>
        <v>44773</v>
      </c>
      <c r="D70" s="205"/>
      <c r="E70" s="174"/>
      <c r="F70" s="174"/>
      <c r="G70" s="175">
        <f t="shared" si="5"/>
        <v>0</v>
      </c>
      <c r="H70" s="175"/>
      <c r="I70" s="195">
        <f t="shared" si="6"/>
        <v>0</v>
      </c>
      <c r="J70" s="149"/>
      <c r="K70" s="152">
        <f t="shared" si="11"/>
        <v>0</v>
      </c>
      <c r="L70" s="185"/>
      <c r="M70" s="185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</row>
    <row r="71" spans="1:30" s="176" customFormat="1">
      <c r="A71" s="176">
        <v>1</v>
      </c>
      <c r="B71" s="173">
        <f t="shared" si="2"/>
        <v>44773</v>
      </c>
      <c r="C71" s="173">
        <f t="shared" si="10"/>
        <v>44804</v>
      </c>
      <c r="D71" s="205"/>
      <c r="E71" s="174"/>
      <c r="F71" s="174"/>
      <c r="G71" s="175">
        <f>ROUND((B71-B70)*$E$8*F71/360,2)</f>
        <v>0</v>
      </c>
      <c r="H71" s="175"/>
      <c r="I71" s="195">
        <f t="shared" si="6"/>
        <v>0</v>
      </c>
      <c r="J71" s="149"/>
      <c r="K71" s="152">
        <f t="shared" si="11"/>
        <v>0</v>
      </c>
      <c r="L71" s="185"/>
      <c r="M71" s="185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</row>
    <row r="72" spans="1:30" s="176" customFormat="1">
      <c r="A72" s="176">
        <f t="shared" si="14"/>
        <v>2</v>
      </c>
      <c r="B72" s="173">
        <f t="shared" si="2"/>
        <v>44804</v>
      </c>
      <c r="C72" s="173">
        <f t="shared" si="10"/>
        <v>44834</v>
      </c>
      <c r="D72" s="205">
        <f>E4</f>
        <v>6989583.2999999998</v>
      </c>
      <c r="E72" s="174"/>
      <c r="F72" s="174">
        <f t="shared" si="8"/>
        <v>0</v>
      </c>
      <c r="G72" s="175">
        <f t="shared" si="5"/>
        <v>0</v>
      </c>
      <c r="H72" s="175"/>
      <c r="I72" s="195">
        <f t="shared" si="6"/>
        <v>0</v>
      </c>
      <c r="J72" s="149"/>
      <c r="K72" s="152">
        <f t="shared" si="11"/>
        <v>0</v>
      </c>
      <c r="L72" s="185"/>
      <c r="M72" s="185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</row>
    <row r="73" spans="1:30" s="176" customFormat="1">
      <c r="A73" s="176">
        <f t="shared" si="14"/>
        <v>3</v>
      </c>
      <c r="B73" s="173">
        <f t="shared" si="2"/>
        <v>44834</v>
      </c>
      <c r="C73" s="173">
        <f t="shared" si="10"/>
        <v>44865</v>
      </c>
      <c r="D73" s="173"/>
      <c r="E73" s="174">
        <v>25000</v>
      </c>
      <c r="F73" s="174">
        <f t="shared" si="8"/>
        <v>6989583.2999999998</v>
      </c>
      <c r="G73" s="175">
        <f t="shared" si="5"/>
        <v>42985.94</v>
      </c>
      <c r="H73" s="175"/>
      <c r="I73" s="195">
        <f t="shared" si="6"/>
        <v>67985.94</v>
      </c>
      <c r="J73" s="149"/>
      <c r="K73" s="152">
        <f t="shared" si="11"/>
        <v>15107.986666666668</v>
      </c>
      <c r="L73" s="185"/>
      <c r="M73" s="185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</row>
    <row r="74" spans="1:30" s="176" customFormat="1">
      <c r="A74" s="176">
        <f t="shared" si="14"/>
        <v>4</v>
      </c>
      <c r="B74" s="173">
        <f t="shared" si="2"/>
        <v>44865</v>
      </c>
      <c r="C74" s="173">
        <f t="shared" si="10"/>
        <v>44895</v>
      </c>
      <c r="D74" s="173"/>
      <c r="E74" s="174">
        <f t="shared" si="12"/>
        <v>25000</v>
      </c>
      <c r="F74" s="174">
        <f t="shared" si="8"/>
        <v>6964583.2999999998</v>
      </c>
      <c r="G74" s="175">
        <f t="shared" si="5"/>
        <v>44259.93</v>
      </c>
      <c r="H74" s="175"/>
      <c r="I74" s="195">
        <f t="shared" si="6"/>
        <v>69259.929999999993</v>
      </c>
      <c r="J74" s="149"/>
      <c r="K74" s="152">
        <f t="shared" si="11"/>
        <v>15391.095555555554</v>
      </c>
      <c r="L74" s="185"/>
      <c r="M74" s="185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</row>
    <row r="75" spans="1:30" s="176" customFormat="1">
      <c r="A75" s="176">
        <f t="shared" si="14"/>
        <v>5</v>
      </c>
      <c r="B75" s="173">
        <f t="shared" si="2"/>
        <v>44895</v>
      </c>
      <c r="C75" s="173">
        <f t="shared" si="10"/>
        <v>44926</v>
      </c>
      <c r="D75" s="173"/>
      <c r="E75" s="174">
        <f t="shared" si="12"/>
        <v>25000</v>
      </c>
      <c r="F75" s="174">
        <f t="shared" si="8"/>
        <v>6939583.2999999998</v>
      </c>
      <c r="G75" s="175">
        <f t="shared" si="5"/>
        <v>42678.44</v>
      </c>
      <c r="H75" s="175"/>
      <c r="I75" s="195">
        <f t="shared" si="6"/>
        <v>67678.44</v>
      </c>
      <c r="J75" s="149"/>
      <c r="K75" s="152">
        <f t="shared" si="11"/>
        <v>15039.653333333334</v>
      </c>
      <c r="L75" s="185"/>
      <c r="M75" s="185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</row>
    <row r="76" spans="1:30" s="171" customFormat="1">
      <c r="A76" s="176">
        <f t="shared" si="14"/>
        <v>6</v>
      </c>
      <c r="B76" s="168">
        <f t="shared" si="2"/>
        <v>44926</v>
      </c>
      <c r="C76" s="168">
        <f t="shared" si="10"/>
        <v>44957</v>
      </c>
      <c r="D76" s="168"/>
      <c r="E76" s="169">
        <f t="shared" si="12"/>
        <v>25000</v>
      </c>
      <c r="F76" s="169">
        <f t="shared" si="8"/>
        <v>6914583.2999999998</v>
      </c>
      <c r="G76" s="170">
        <f t="shared" si="5"/>
        <v>43942.18</v>
      </c>
      <c r="H76" s="170"/>
      <c r="I76" s="194">
        <f t="shared" si="6"/>
        <v>68942.179999999993</v>
      </c>
      <c r="K76" s="172">
        <f t="shared" si="11"/>
        <v>15320.484444444442</v>
      </c>
      <c r="L76" s="172">
        <f>SUM(E71:E76)</f>
        <v>100000</v>
      </c>
      <c r="M76" s="172">
        <f>SUM(G71:G76)</f>
        <v>173866.49</v>
      </c>
    </row>
    <row r="77" spans="1:30" s="176" customFormat="1">
      <c r="A77" s="176">
        <f t="shared" si="14"/>
        <v>7</v>
      </c>
      <c r="B77" s="173">
        <f t="shared" si="2"/>
        <v>44957</v>
      </c>
      <c r="C77" s="173">
        <f t="shared" si="10"/>
        <v>44985</v>
      </c>
      <c r="D77" s="173"/>
      <c r="E77" s="174">
        <f t="shared" si="12"/>
        <v>25000</v>
      </c>
      <c r="F77" s="174">
        <f t="shared" si="8"/>
        <v>6889583.2999999998</v>
      </c>
      <c r="G77" s="175">
        <f t="shared" si="5"/>
        <v>43783.3</v>
      </c>
      <c r="H77" s="175"/>
      <c r="I77" s="195">
        <f t="shared" si="6"/>
        <v>68783.3</v>
      </c>
      <c r="J77" s="149"/>
      <c r="K77" s="152">
        <f t="shared" si="11"/>
        <v>15285.177777777779</v>
      </c>
      <c r="L77" s="185"/>
      <c r="M77" s="185"/>
      <c r="N77" s="152"/>
      <c r="O77" s="152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</row>
    <row r="78" spans="1:30" s="176" customFormat="1">
      <c r="A78" s="176">
        <f t="shared" si="14"/>
        <v>8</v>
      </c>
      <c r="B78" s="173">
        <f t="shared" si="2"/>
        <v>44985</v>
      </c>
      <c r="C78" s="173">
        <f t="shared" si="10"/>
        <v>45016</v>
      </c>
      <c r="D78" s="173"/>
      <c r="E78" s="174">
        <f t="shared" si="12"/>
        <v>25000</v>
      </c>
      <c r="F78" s="174">
        <f t="shared" si="8"/>
        <v>6864583.2999999998</v>
      </c>
      <c r="G78" s="175">
        <f t="shared" si="5"/>
        <v>39402.71</v>
      </c>
      <c r="H78" s="175"/>
      <c r="I78" s="195">
        <f t="shared" si="6"/>
        <v>64402.71</v>
      </c>
      <c r="J78" s="149"/>
      <c r="K78" s="152">
        <f t="shared" si="11"/>
        <v>14311.713333333333</v>
      </c>
      <c r="L78" s="185"/>
      <c r="M78" s="185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</row>
    <row r="79" spans="1:30" s="176" customFormat="1">
      <c r="A79" s="176">
        <f t="shared" si="14"/>
        <v>9</v>
      </c>
      <c r="B79" s="173">
        <f t="shared" si="2"/>
        <v>45016</v>
      </c>
      <c r="C79" s="173">
        <f t="shared" si="10"/>
        <v>45046</v>
      </c>
      <c r="D79" s="173"/>
      <c r="E79" s="174">
        <f t="shared" si="12"/>
        <v>25000</v>
      </c>
      <c r="F79" s="174">
        <f t="shared" si="8"/>
        <v>6839583.2999999998</v>
      </c>
      <c r="G79" s="175">
        <f t="shared" si="5"/>
        <v>43465.55</v>
      </c>
      <c r="H79" s="175"/>
      <c r="I79" s="195">
        <f t="shared" si="6"/>
        <v>68465.55</v>
      </c>
      <c r="J79" s="149"/>
      <c r="K79" s="152">
        <f t="shared" si="11"/>
        <v>15214.566666666668</v>
      </c>
      <c r="L79" s="185"/>
      <c r="M79" s="185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</row>
    <row r="80" spans="1:30" s="176" customFormat="1">
      <c r="A80" s="176">
        <f t="shared" si="14"/>
        <v>10</v>
      </c>
      <c r="B80" s="173">
        <f t="shared" si="2"/>
        <v>45046</v>
      </c>
      <c r="C80" s="173">
        <f t="shared" si="10"/>
        <v>45077</v>
      </c>
      <c r="D80" s="173"/>
      <c r="E80" s="174">
        <f t="shared" si="12"/>
        <v>25000</v>
      </c>
      <c r="F80" s="174">
        <f t="shared" si="8"/>
        <v>6814583.2999999998</v>
      </c>
      <c r="G80" s="175">
        <f t="shared" si="5"/>
        <v>41909.69</v>
      </c>
      <c r="H80" s="175"/>
      <c r="I80" s="195">
        <f t="shared" si="6"/>
        <v>66909.69</v>
      </c>
      <c r="J80" s="149"/>
      <c r="K80" s="152">
        <f t="shared" si="11"/>
        <v>14868.82</v>
      </c>
      <c r="L80" s="185"/>
      <c r="M80" s="185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</row>
    <row r="81" spans="1:30" s="176" customFormat="1">
      <c r="A81" s="176">
        <f t="shared" si="14"/>
        <v>11</v>
      </c>
      <c r="B81" s="173">
        <f t="shared" si="2"/>
        <v>45077</v>
      </c>
      <c r="C81" s="173">
        <f t="shared" si="10"/>
        <v>45107</v>
      </c>
      <c r="D81" s="173"/>
      <c r="E81" s="174">
        <f t="shared" si="12"/>
        <v>25000</v>
      </c>
      <c r="F81" s="174">
        <f t="shared" si="8"/>
        <v>6789583.2999999998</v>
      </c>
      <c r="G81" s="175">
        <f t="shared" si="5"/>
        <v>43147.8</v>
      </c>
      <c r="H81" s="175"/>
      <c r="I81" s="195">
        <f t="shared" si="6"/>
        <v>68147.8</v>
      </c>
      <c r="J81" s="149"/>
      <c r="K81" s="152">
        <f t="shared" si="11"/>
        <v>15143.955555555556</v>
      </c>
      <c r="L81" s="185"/>
      <c r="M81" s="185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</row>
    <row r="82" spans="1:30" s="176" customFormat="1">
      <c r="A82" s="176">
        <f t="shared" si="14"/>
        <v>12</v>
      </c>
      <c r="B82" s="173">
        <f t="shared" si="2"/>
        <v>45107</v>
      </c>
      <c r="C82" s="173">
        <f t="shared" si="10"/>
        <v>45138</v>
      </c>
      <c r="D82" s="173"/>
      <c r="E82" s="174">
        <f t="shared" si="12"/>
        <v>25000</v>
      </c>
      <c r="F82" s="174">
        <f t="shared" si="8"/>
        <v>6764583.2999999998</v>
      </c>
      <c r="G82" s="175">
        <f t="shared" si="5"/>
        <v>41602.19</v>
      </c>
      <c r="H82" s="175"/>
      <c r="I82" s="195">
        <f t="shared" si="6"/>
        <v>66602.19</v>
      </c>
      <c r="J82" s="149"/>
      <c r="K82" s="152">
        <f t="shared" si="11"/>
        <v>14800.486666666668</v>
      </c>
      <c r="L82" s="185"/>
      <c r="M82" s="185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</row>
    <row r="83" spans="1:30" s="176" customFormat="1">
      <c r="A83" s="176">
        <f t="shared" si="14"/>
        <v>13</v>
      </c>
      <c r="B83" s="173">
        <f t="shared" si="2"/>
        <v>45138</v>
      </c>
      <c r="C83" s="173">
        <f t="shared" si="10"/>
        <v>45169</v>
      </c>
      <c r="D83" s="173"/>
      <c r="E83" s="174">
        <f t="shared" si="12"/>
        <v>25000</v>
      </c>
      <c r="F83" s="174">
        <f t="shared" si="8"/>
        <v>6739583.2999999998</v>
      </c>
      <c r="G83" s="175">
        <f t="shared" si="5"/>
        <v>42830.05</v>
      </c>
      <c r="H83" s="175"/>
      <c r="I83" s="195">
        <f t="shared" si="6"/>
        <v>67830.05</v>
      </c>
      <c r="J83" s="149"/>
      <c r="K83" s="152">
        <f t="shared" si="11"/>
        <v>15073.344444444445</v>
      </c>
      <c r="L83" s="185"/>
      <c r="M83" s="185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</row>
    <row r="84" spans="1:30" s="176" customFormat="1">
      <c r="A84" s="176">
        <f t="shared" si="14"/>
        <v>14</v>
      </c>
      <c r="B84" s="173">
        <f t="shared" ref="B84:B147" si="15">EOMONTH(B83,1)</f>
        <v>45169</v>
      </c>
      <c r="C84" s="173">
        <f t="shared" si="10"/>
        <v>45199</v>
      </c>
      <c r="D84" s="173"/>
      <c r="E84" s="174">
        <f t="shared" si="12"/>
        <v>25000</v>
      </c>
      <c r="F84" s="174">
        <f t="shared" si="8"/>
        <v>6714583.2999999998</v>
      </c>
      <c r="G84" s="175">
        <f t="shared" si="5"/>
        <v>42671.18</v>
      </c>
      <c r="H84" s="175"/>
      <c r="I84" s="195">
        <f t="shared" si="6"/>
        <v>67671.179999999993</v>
      </c>
      <c r="J84" s="149"/>
      <c r="K84" s="152">
        <f t="shared" si="11"/>
        <v>15038.039999999999</v>
      </c>
      <c r="L84" s="185"/>
      <c r="M84" s="185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</row>
    <row r="85" spans="1:30" s="176" customFormat="1">
      <c r="A85" s="176">
        <f t="shared" si="14"/>
        <v>15</v>
      </c>
      <c r="B85" s="173">
        <f t="shared" si="15"/>
        <v>45199</v>
      </c>
      <c r="C85" s="173">
        <f t="shared" si="10"/>
        <v>45230</v>
      </c>
      <c r="D85" s="173"/>
      <c r="E85" s="174">
        <f t="shared" si="12"/>
        <v>25000</v>
      </c>
      <c r="F85" s="174">
        <f t="shared" si="8"/>
        <v>6689583.2999999998</v>
      </c>
      <c r="G85" s="175">
        <f t="shared" ref="G85:G148" si="16">ROUND((B85-B84)*$E$8*F85/360,2)</f>
        <v>41140.94</v>
      </c>
      <c r="H85" s="175"/>
      <c r="I85" s="195">
        <f t="shared" ref="I85:I148" si="17">E85+G85</f>
        <v>66140.94</v>
      </c>
      <c r="J85" s="149"/>
      <c r="K85" s="152">
        <f t="shared" si="11"/>
        <v>14697.986666666668</v>
      </c>
      <c r="L85" s="185"/>
      <c r="M85" s="185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</row>
    <row r="86" spans="1:30" s="176" customFormat="1">
      <c r="A86" s="176">
        <f t="shared" si="14"/>
        <v>16</v>
      </c>
      <c r="B86" s="173">
        <f t="shared" si="15"/>
        <v>45230</v>
      </c>
      <c r="C86" s="173">
        <f t="shared" si="10"/>
        <v>45260</v>
      </c>
      <c r="D86" s="173"/>
      <c r="E86" s="174">
        <f t="shared" si="12"/>
        <v>25000</v>
      </c>
      <c r="F86" s="174">
        <f>F85-E85+D85</f>
        <v>6664583.2999999998</v>
      </c>
      <c r="G86" s="175">
        <f t="shared" si="16"/>
        <v>42353.43</v>
      </c>
      <c r="H86" s="175"/>
      <c r="I86" s="195">
        <f t="shared" si="17"/>
        <v>67353.429999999993</v>
      </c>
      <c r="J86" s="149"/>
      <c r="K86" s="152">
        <f t="shared" si="11"/>
        <v>14967.428888888888</v>
      </c>
      <c r="L86" s="185"/>
      <c r="M86" s="185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</row>
    <row r="87" spans="1:30" s="176" customFormat="1">
      <c r="A87" s="176">
        <f t="shared" si="14"/>
        <v>17</v>
      </c>
      <c r="B87" s="173">
        <f t="shared" si="15"/>
        <v>45260</v>
      </c>
      <c r="C87" s="173">
        <f t="shared" si="10"/>
        <v>45291</v>
      </c>
      <c r="D87" s="173"/>
      <c r="E87" s="174">
        <f t="shared" si="12"/>
        <v>25000</v>
      </c>
      <c r="F87" s="174">
        <f>F86-E86+D86</f>
        <v>6639583.2999999998</v>
      </c>
      <c r="G87" s="175">
        <f t="shared" si="16"/>
        <v>40833.440000000002</v>
      </c>
      <c r="H87" s="175"/>
      <c r="I87" s="195">
        <f t="shared" si="17"/>
        <v>65833.440000000002</v>
      </c>
      <c r="J87" s="149"/>
      <c r="K87" s="152">
        <f t="shared" si="11"/>
        <v>14629.653333333334</v>
      </c>
      <c r="L87" s="185"/>
      <c r="M87" s="185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</row>
    <row r="88" spans="1:30" s="171" customFormat="1">
      <c r="A88" s="176">
        <f t="shared" si="14"/>
        <v>18</v>
      </c>
      <c r="B88" s="168">
        <f t="shared" si="15"/>
        <v>45291</v>
      </c>
      <c r="C88" s="168">
        <f t="shared" si="10"/>
        <v>45322</v>
      </c>
      <c r="D88" s="168"/>
      <c r="E88" s="169">
        <f t="shared" si="12"/>
        <v>25000</v>
      </c>
      <c r="F88" s="169">
        <f t="shared" ref="F88:F151" si="18">F87-E87+D87</f>
        <v>6614583.2999999998</v>
      </c>
      <c r="G88" s="170">
        <f t="shared" si="16"/>
        <v>42035.68</v>
      </c>
      <c r="H88" s="170"/>
      <c r="I88" s="194">
        <f t="shared" si="17"/>
        <v>67035.679999999993</v>
      </c>
      <c r="K88" s="172">
        <f t="shared" si="11"/>
        <v>14896.817777777776</v>
      </c>
      <c r="L88" s="172">
        <f>SUM(E77:E88)</f>
        <v>300000</v>
      </c>
      <c r="M88" s="172">
        <f>SUM(G77:G88)</f>
        <v>505175.95999999996</v>
      </c>
    </row>
    <row r="89" spans="1:30" s="176" customFormat="1">
      <c r="A89" s="176">
        <f t="shared" si="14"/>
        <v>19</v>
      </c>
      <c r="B89" s="173">
        <f t="shared" si="15"/>
        <v>45322</v>
      </c>
      <c r="C89" s="173">
        <f t="shared" si="10"/>
        <v>45351</v>
      </c>
      <c r="D89" s="173"/>
      <c r="E89" s="174">
        <f t="shared" si="12"/>
        <v>25000</v>
      </c>
      <c r="F89" s="174">
        <f t="shared" si="18"/>
        <v>6589583.2999999998</v>
      </c>
      <c r="G89" s="175">
        <f t="shared" si="16"/>
        <v>41876.800000000003</v>
      </c>
      <c r="H89" s="175"/>
      <c r="I89" s="195">
        <f t="shared" si="17"/>
        <v>66876.800000000003</v>
      </c>
      <c r="J89" s="149"/>
      <c r="K89" s="152">
        <f t="shared" si="11"/>
        <v>14861.511111111111</v>
      </c>
      <c r="L89" s="185"/>
      <c r="M89" s="185"/>
      <c r="N89" s="152"/>
      <c r="O89" s="152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</row>
    <row r="90" spans="1:30" s="176" customFormat="1">
      <c r="A90" s="176">
        <f t="shared" si="14"/>
        <v>20</v>
      </c>
      <c r="B90" s="173">
        <f t="shared" si="15"/>
        <v>45351</v>
      </c>
      <c r="C90" s="173">
        <f t="shared" si="10"/>
        <v>45382</v>
      </c>
      <c r="D90" s="173"/>
      <c r="E90" s="174">
        <f t="shared" si="12"/>
        <v>25000</v>
      </c>
      <c r="F90" s="174">
        <f t="shared" si="18"/>
        <v>6564583.2999999998</v>
      </c>
      <c r="G90" s="175">
        <f t="shared" si="16"/>
        <v>39026.449999999997</v>
      </c>
      <c r="H90" s="175"/>
      <c r="I90" s="195">
        <f t="shared" si="17"/>
        <v>64026.45</v>
      </c>
      <c r="J90" s="149"/>
      <c r="K90" s="152">
        <f t="shared" si="11"/>
        <v>14228.099999999999</v>
      </c>
      <c r="L90" s="185"/>
      <c r="M90" s="185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</row>
    <row r="91" spans="1:30" s="176" customFormat="1">
      <c r="A91" s="176">
        <f t="shared" si="14"/>
        <v>21</v>
      </c>
      <c r="B91" s="173">
        <f t="shared" si="15"/>
        <v>45382</v>
      </c>
      <c r="C91" s="173">
        <f t="shared" si="10"/>
        <v>45412</v>
      </c>
      <c r="D91" s="173"/>
      <c r="E91" s="174">
        <f t="shared" si="12"/>
        <v>25000</v>
      </c>
      <c r="F91" s="174">
        <f t="shared" si="18"/>
        <v>6539583.2999999998</v>
      </c>
      <c r="G91" s="175">
        <f t="shared" si="16"/>
        <v>41559.050000000003</v>
      </c>
      <c r="H91" s="175"/>
      <c r="I91" s="195">
        <f t="shared" si="17"/>
        <v>66559.05</v>
      </c>
      <c r="J91" s="149"/>
      <c r="K91" s="152">
        <f t="shared" si="11"/>
        <v>14790.900000000001</v>
      </c>
      <c r="L91" s="185"/>
      <c r="M91" s="185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</row>
    <row r="92" spans="1:30" s="176" customFormat="1">
      <c r="A92" s="176">
        <f t="shared" si="14"/>
        <v>22</v>
      </c>
      <c r="B92" s="173">
        <f t="shared" si="15"/>
        <v>45412</v>
      </c>
      <c r="C92" s="173">
        <f t="shared" si="10"/>
        <v>45443</v>
      </c>
      <c r="D92" s="173"/>
      <c r="E92" s="174">
        <f t="shared" si="12"/>
        <v>25000</v>
      </c>
      <c r="F92" s="174">
        <f t="shared" si="18"/>
        <v>6514583.2999999998</v>
      </c>
      <c r="G92" s="175">
        <f t="shared" si="16"/>
        <v>40064.69</v>
      </c>
      <c r="H92" s="175"/>
      <c r="I92" s="195">
        <f t="shared" si="17"/>
        <v>65064.69</v>
      </c>
      <c r="J92" s="149"/>
      <c r="K92" s="152">
        <f t="shared" si="11"/>
        <v>14458.82</v>
      </c>
      <c r="L92" s="185"/>
      <c r="M92" s="185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</row>
    <row r="93" spans="1:30" s="176" customFormat="1">
      <c r="A93" s="176">
        <f t="shared" si="14"/>
        <v>23</v>
      </c>
      <c r="B93" s="173">
        <f t="shared" si="15"/>
        <v>45443</v>
      </c>
      <c r="C93" s="173">
        <f t="shared" si="10"/>
        <v>45473</v>
      </c>
      <c r="D93" s="173"/>
      <c r="E93" s="174">
        <f t="shared" si="12"/>
        <v>25000</v>
      </c>
      <c r="F93" s="174">
        <f t="shared" si="18"/>
        <v>6489583.2999999998</v>
      </c>
      <c r="G93" s="175">
        <f t="shared" si="16"/>
        <v>41241.300000000003</v>
      </c>
      <c r="H93" s="175"/>
      <c r="I93" s="195">
        <f t="shared" si="17"/>
        <v>66241.3</v>
      </c>
      <c r="J93" s="149"/>
      <c r="K93" s="152">
        <f t="shared" si="11"/>
        <v>14720.28888888889</v>
      </c>
      <c r="L93" s="185"/>
      <c r="M93" s="185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</row>
    <row r="94" spans="1:30" s="176" customFormat="1">
      <c r="A94" s="176">
        <f t="shared" si="14"/>
        <v>24</v>
      </c>
      <c r="B94" s="173">
        <f t="shared" si="15"/>
        <v>45473</v>
      </c>
      <c r="C94" s="173">
        <f t="shared" si="10"/>
        <v>45504</v>
      </c>
      <c r="D94" s="173"/>
      <c r="E94" s="174">
        <f t="shared" si="12"/>
        <v>25000</v>
      </c>
      <c r="F94" s="174">
        <f t="shared" si="18"/>
        <v>6464583.2999999998</v>
      </c>
      <c r="G94" s="175">
        <f t="shared" si="16"/>
        <v>39757.19</v>
      </c>
      <c r="H94" s="175"/>
      <c r="I94" s="195">
        <f t="shared" si="17"/>
        <v>64757.19</v>
      </c>
      <c r="J94" s="149"/>
      <c r="K94" s="152">
        <f t="shared" si="11"/>
        <v>14390.486666666668</v>
      </c>
      <c r="L94" s="185"/>
      <c r="M94" s="185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</row>
    <row r="95" spans="1:30" s="176" customFormat="1">
      <c r="A95" s="176">
        <f t="shared" si="14"/>
        <v>25</v>
      </c>
      <c r="B95" s="173">
        <f t="shared" si="15"/>
        <v>45504</v>
      </c>
      <c r="C95" s="173">
        <f t="shared" si="10"/>
        <v>45535</v>
      </c>
      <c r="D95" s="173"/>
      <c r="E95" s="174">
        <f t="shared" si="12"/>
        <v>25000</v>
      </c>
      <c r="F95" s="174">
        <f t="shared" si="18"/>
        <v>6439583.2999999998</v>
      </c>
      <c r="G95" s="175">
        <f t="shared" si="16"/>
        <v>40923.550000000003</v>
      </c>
      <c r="H95" s="175"/>
      <c r="I95" s="195">
        <f t="shared" si="17"/>
        <v>65923.55</v>
      </c>
      <c r="J95" s="149"/>
      <c r="K95" s="152">
        <f t="shared" si="11"/>
        <v>14649.677777777779</v>
      </c>
      <c r="L95" s="185"/>
      <c r="M95" s="185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</row>
    <row r="96" spans="1:30" s="176" customFormat="1">
      <c r="A96" s="176">
        <f t="shared" si="14"/>
        <v>26</v>
      </c>
      <c r="B96" s="173">
        <f t="shared" si="15"/>
        <v>45535</v>
      </c>
      <c r="C96" s="173">
        <f t="shared" ref="C96:C159" si="19">B97</f>
        <v>45565</v>
      </c>
      <c r="D96" s="173"/>
      <c r="E96" s="174">
        <f t="shared" si="12"/>
        <v>25000</v>
      </c>
      <c r="F96" s="174">
        <f t="shared" si="18"/>
        <v>6414583.2999999998</v>
      </c>
      <c r="G96" s="175">
        <f t="shared" si="16"/>
        <v>40764.68</v>
      </c>
      <c r="H96" s="175"/>
      <c r="I96" s="195">
        <f t="shared" si="17"/>
        <v>65764.679999999993</v>
      </c>
      <c r="J96" s="149"/>
      <c r="K96" s="152">
        <f t="shared" ref="K96:K159" si="20">I96/4.5</f>
        <v>14614.373333333331</v>
      </c>
      <c r="L96" s="185"/>
      <c r="M96" s="185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</row>
    <row r="97" spans="1:30" s="176" customFormat="1">
      <c r="A97" s="176">
        <f t="shared" si="14"/>
        <v>27</v>
      </c>
      <c r="B97" s="173">
        <f t="shared" si="15"/>
        <v>45565</v>
      </c>
      <c r="C97" s="173">
        <f t="shared" si="19"/>
        <v>45596</v>
      </c>
      <c r="D97" s="173"/>
      <c r="E97" s="174">
        <f t="shared" si="12"/>
        <v>25000</v>
      </c>
      <c r="F97" s="174">
        <f t="shared" si="18"/>
        <v>6389583.2999999998</v>
      </c>
      <c r="G97" s="175">
        <f t="shared" si="16"/>
        <v>39295.94</v>
      </c>
      <c r="H97" s="175"/>
      <c r="I97" s="195">
        <f t="shared" si="17"/>
        <v>64295.94</v>
      </c>
      <c r="J97" s="149"/>
      <c r="K97" s="152">
        <f t="shared" si="20"/>
        <v>14287.986666666668</v>
      </c>
      <c r="L97" s="185"/>
      <c r="M97" s="185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</row>
    <row r="98" spans="1:30" s="176" customFormat="1">
      <c r="A98" s="176">
        <f t="shared" si="14"/>
        <v>28</v>
      </c>
      <c r="B98" s="173">
        <f t="shared" si="15"/>
        <v>45596</v>
      </c>
      <c r="C98" s="173">
        <f t="shared" si="19"/>
        <v>45626</v>
      </c>
      <c r="D98" s="173"/>
      <c r="E98" s="174">
        <f t="shared" si="12"/>
        <v>25000</v>
      </c>
      <c r="F98" s="174">
        <f t="shared" si="18"/>
        <v>6364583.2999999998</v>
      </c>
      <c r="G98" s="175">
        <f t="shared" si="16"/>
        <v>40446.93</v>
      </c>
      <c r="H98" s="175"/>
      <c r="I98" s="195">
        <f t="shared" si="17"/>
        <v>65446.93</v>
      </c>
      <c r="J98" s="149"/>
      <c r="K98" s="152">
        <f t="shared" si="20"/>
        <v>14543.762222222222</v>
      </c>
      <c r="L98" s="185"/>
      <c r="M98" s="185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</row>
    <row r="99" spans="1:30" s="176" customFormat="1">
      <c r="A99" s="176">
        <f t="shared" si="14"/>
        <v>29</v>
      </c>
      <c r="B99" s="173">
        <f t="shared" si="15"/>
        <v>45626</v>
      </c>
      <c r="C99" s="173">
        <f t="shared" si="19"/>
        <v>45657</v>
      </c>
      <c r="D99" s="173"/>
      <c r="E99" s="174">
        <f t="shared" si="12"/>
        <v>25000</v>
      </c>
      <c r="F99" s="174">
        <f t="shared" si="18"/>
        <v>6339583.2999999998</v>
      </c>
      <c r="G99" s="175">
        <f t="shared" si="16"/>
        <v>38988.44</v>
      </c>
      <c r="H99" s="175"/>
      <c r="I99" s="195">
        <f t="shared" si="17"/>
        <v>63988.44</v>
      </c>
      <c r="J99" s="149"/>
      <c r="K99" s="152">
        <f t="shared" si="20"/>
        <v>14219.653333333334</v>
      </c>
      <c r="L99" s="185"/>
      <c r="M99" s="185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</row>
    <row r="100" spans="1:30" s="171" customFormat="1">
      <c r="A100" s="176">
        <f t="shared" si="14"/>
        <v>30</v>
      </c>
      <c r="B100" s="168">
        <f t="shared" si="15"/>
        <v>45657</v>
      </c>
      <c r="C100" s="168">
        <f t="shared" si="19"/>
        <v>45688</v>
      </c>
      <c r="D100" s="168"/>
      <c r="E100" s="169">
        <f t="shared" si="12"/>
        <v>25000</v>
      </c>
      <c r="F100" s="169">
        <f t="shared" si="18"/>
        <v>6314583.2999999998</v>
      </c>
      <c r="G100" s="170">
        <f t="shared" si="16"/>
        <v>40129.18</v>
      </c>
      <c r="H100" s="170"/>
      <c r="I100" s="194">
        <f t="shared" si="17"/>
        <v>65129.18</v>
      </c>
      <c r="K100" s="172">
        <f t="shared" si="20"/>
        <v>14473.15111111111</v>
      </c>
      <c r="L100" s="172">
        <f>SUM(E89:E100)</f>
        <v>300000</v>
      </c>
      <c r="M100" s="172">
        <f>SUM(G89:G100)</f>
        <v>484074.19999999995</v>
      </c>
    </row>
    <row r="101" spans="1:30" s="176" customFormat="1">
      <c r="A101" s="176">
        <f t="shared" si="14"/>
        <v>31</v>
      </c>
      <c r="B101" s="173">
        <f t="shared" si="15"/>
        <v>45688</v>
      </c>
      <c r="C101" s="173">
        <f t="shared" si="19"/>
        <v>45716</v>
      </c>
      <c r="D101" s="173"/>
      <c r="E101" s="174">
        <v>25000</v>
      </c>
      <c r="F101" s="174">
        <f t="shared" si="18"/>
        <v>6289583.2999999998</v>
      </c>
      <c r="G101" s="175">
        <f t="shared" si="16"/>
        <v>39970.300000000003</v>
      </c>
      <c r="H101" s="175"/>
      <c r="I101" s="195">
        <f t="shared" si="17"/>
        <v>64970.3</v>
      </c>
      <c r="J101" s="149"/>
      <c r="K101" s="152">
        <f t="shared" si="20"/>
        <v>14437.844444444445</v>
      </c>
      <c r="L101" s="185"/>
      <c r="M101" s="185"/>
      <c r="N101" s="152"/>
      <c r="O101" s="152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</row>
    <row r="102" spans="1:30" s="176" customFormat="1">
      <c r="A102" s="176">
        <f t="shared" si="14"/>
        <v>32</v>
      </c>
      <c r="B102" s="173">
        <f t="shared" si="15"/>
        <v>45716</v>
      </c>
      <c r="C102" s="173">
        <f t="shared" si="19"/>
        <v>45747</v>
      </c>
      <c r="D102" s="173"/>
      <c r="E102" s="174">
        <f t="shared" ref="E102:E165" si="21">E101</f>
        <v>25000</v>
      </c>
      <c r="F102" s="174">
        <f t="shared" si="18"/>
        <v>6264583.2999999998</v>
      </c>
      <c r="G102" s="175">
        <f t="shared" si="16"/>
        <v>35958.71</v>
      </c>
      <c r="H102" s="175"/>
      <c r="I102" s="195">
        <f t="shared" si="17"/>
        <v>60958.71</v>
      </c>
      <c r="J102" s="149"/>
      <c r="K102" s="152">
        <f t="shared" si="20"/>
        <v>13546.38</v>
      </c>
      <c r="L102" s="185"/>
      <c r="M102" s="185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</row>
    <row r="103" spans="1:30" s="176" customFormat="1">
      <c r="A103" s="176">
        <f t="shared" si="14"/>
        <v>33</v>
      </c>
      <c r="B103" s="173">
        <f t="shared" si="15"/>
        <v>45747</v>
      </c>
      <c r="C103" s="173">
        <f t="shared" si="19"/>
        <v>45777</v>
      </c>
      <c r="D103" s="173"/>
      <c r="E103" s="174">
        <f t="shared" si="21"/>
        <v>25000</v>
      </c>
      <c r="F103" s="174">
        <f t="shared" si="18"/>
        <v>6239583.2999999998</v>
      </c>
      <c r="G103" s="175">
        <f t="shared" si="16"/>
        <v>39652.550000000003</v>
      </c>
      <c r="H103" s="175"/>
      <c r="I103" s="195">
        <f t="shared" si="17"/>
        <v>64652.55</v>
      </c>
      <c r="J103" s="149"/>
      <c r="K103" s="152">
        <f t="shared" si="20"/>
        <v>14367.233333333334</v>
      </c>
      <c r="L103" s="185"/>
      <c r="M103" s="185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</row>
    <row r="104" spans="1:30" s="176" customFormat="1">
      <c r="A104" s="176">
        <f t="shared" si="14"/>
        <v>34</v>
      </c>
      <c r="B104" s="173">
        <f t="shared" si="15"/>
        <v>45777</v>
      </c>
      <c r="C104" s="173">
        <f t="shared" si="19"/>
        <v>45808</v>
      </c>
      <c r="D104" s="173"/>
      <c r="E104" s="174">
        <f t="shared" si="21"/>
        <v>25000</v>
      </c>
      <c r="F104" s="174">
        <f t="shared" si="18"/>
        <v>6214583.2999999998</v>
      </c>
      <c r="G104" s="175">
        <f t="shared" si="16"/>
        <v>38219.69</v>
      </c>
      <c r="H104" s="175"/>
      <c r="I104" s="195">
        <f t="shared" si="17"/>
        <v>63219.69</v>
      </c>
      <c r="J104" s="149"/>
      <c r="K104" s="152">
        <f t="shared" si="20"/>
        <v>14048.82</v>
      </c>
      <c r="L104" s="185"/>
      <c r="M104" s="185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</row>
    <row r="105" spans="1:30" s="176" customFormat="1">
      <c r="A105" s="176">
        <f t="shared" si="14"/>
        <v>35</v>
      </c>
      <c r="B105" s="173">
        <f t="shared" si="15"/>
        <v>45808</v>
      </c>
      <c r="C105" s="173">
        <f t="shared" si="19"/>
        <v>45838</v>
      </c>
      <c r="D105" s="173"/>
      <c r="E105" s="174">
        <f t="shared" si="21"/>
        <v>25000</v>
      </c>
      <c r="F105" s="174">
        <f t="shared" si="18"/>
        <v>6189583.2999999998</v>
      </c>
      <c r="G105" s="175">
        <f t="shared" si="16"/>
        <v>39334.800000000003</v>
      </c>
      <c r="H105" s="175"/>
      <c r="I105" s="195">
        <f t="shared" si="17"/>
        <v>64334.8</v>
      </c>
      <c r="J105" s="149"/>
      <c r="K105" s="152">
        <f t="shared" si="20"/>
        <v>14296.622222222222</v>
      </c>
      <c r="L105" s="185"/>
      <c r="M105" s="185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</row>
    <row r="106" spans="1:30" s="176" customFormat="1">
      <c r="A106" s="176">
        <f t="shared" si="14"/>
        <v>36</v>
      </c>
      <c r="B106" s="173">
        <f t="shared" si="15"/>
        <v>45838</v>
      </c>
      <c r="C106" s="173">
        <f t="shared" si="19"/>
        <v>45869</v>
      </c>
      <c r="D106" s="173"/>
      <c r="E106" s="174">
        <f t="shared" si="21"/>
        <v>25000</v>
      </c>
      <c r="F106" s="174">
        <f t="shared" si="18"/>
        <v>6164583.2999999998</v>
      </c>
      <c r="G106" s="175">
        <f t="shared" si="16"/>
        <v>37912.19</v>
      </c>
      <c r="H106" s="175"/>
      <c r="I106" s="195">
        <f t="shared" si="17"/>
        <v>62912.19</v>
      </c>
      <c r="J106" s="149"/>
      <c r="K106" s="152">
        <f t="shared" si="20"/>
        <v>13980.486666666668</v>
      </c>
      <c r="L106" s="185"/>
      <c r="M106" s="185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</row>
    <row r="107" spans="1:30" s="176" customFormat="1">
      <c r="A107" s="176">
        <f t="shared" si="14"/>
        <v>37</v>
      </c>
      <c r="B107" s="173">
        <f t="shared" si="15"/>
        <v>45869</v>
      </c>
      <c r="C107" s="173">
        <f t="shared" si="19"/>
        <v>45900</v>
      </c>
      <c r="D107" s="173"/>
      <c r="E107" s="174">
        <f t="shared" si="21"/>
        <v>25000</v>
      </c>
      <c r="F107" s="174">
        <f t="shared" si="18"/>
        <v>6139583.2999999998</v>
      </c>
      <c r="G107" s="175">
        <f t="shared" si="16"/>
        <v>39017.050000000003</v>
      </c>
      <c r="H107" s="175"/>
      <c r="I107" s="195">
        <f t="shared" si="17"/>
        <v>64017.05</v>
      </c>
      <c r="J107" s="149"/>
      <c r="K107" s="152">
        <f t="shared" si="20"/>
        <v>14226.011111111111</v>
      </c>
      <c r="L107" s="185"/>
      <c r="M107" s="185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</row>
    <row r="108" spans="1:30" s="176" customFormat="1">
      <c r="A108" s="176">
        <f t="shared" si="14"/>
        <v>38</v>
      </c>
      <c r="B108" s="173">
        <f t="shared" si="15"/>
        <v>45900</v>
      </c>
      <c r="C108" s="173">
        <f t="shared" si="19"/>
        <v>45930</v>
      </c>
      <c r="D108" s="173"/>
      <c r="E108" s="174">
        <f t="shared" si="21"/>
        <v>25000</v>
      </c>
      <c r="F108" s="174">
        <f t="shared" si="18"/>
        <v>6114583.2999999998</v>
      </c>
      <c r="G108" s="175">
        <f t="shared" si="16"/>
        <v>38858.18</v>
      </c>
      <c r="H108" s="175"/>
      <c r="I108" s="195">
        <f t="shared" si="17"/>
        <v>63858.18</v>
      </c>
      <c r="J108" s="149"/>
      <c r="K108" s="152">
        <f t="shared" si="20"/>
        <v>14190.706666666667</v>
      </c>
      <c r="L108" s="185"/>
      <c r="M108" s="185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</row>
    <row r="109" spans="1:30" s="176" customFormat="1">
      <c r="A109" s="176">
        <f t="shared" si="14"/>
        <v>39</v>
      </c>
      <c r="B109" s="173">
        <f t="shared" si="15"/>
        <v>45930</v>
      </c>
      <c r="C109" s="173">
        <f t="shared" si="19"/>
        <v>45961</v>
      </c>
      <c r="D109" s="173"/>
      <c r="E109" s="174">
        <f t="shared" si="21"/>
        <v>25000</v>
      </c>
      <c r="F109" s="174">
        <f t="shared" si="18"/>
        <v>6089583.2999999998</v>
      </c>
      <c r="G109" s="175">
        <f t="shared" si="16"/>
        <v>37450.94</v>
      </c>
      <c r="H109" s="175"/>
      <c r="I109" s="195">
        <f t="shared" si="17"/>
        <v>62450.94</v>
      </c>
      <c r="J109" s="149"/>
      <c r="K109" s="152">
        <f t="shared" si="20"/>
        <v>13877.986666666668</v>
      </c>
      <c r="L109" s="185"/>
      <c r="M109" s="185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</row>
    <row r="110" spans="1:30" s="176" customFormat="1">
      <c r="A110" s="176">
        <f t="shared" si="14"/>
        <v>40</v>
      </c>
      <c r="B110" s="173">
        <f t="shared" si="15"/>
        <v>45961</v>
      </c>
      <c r="C110" s="173">
        <f t="shared" si="19"/>
        <v>45991</v>
      </c>
      <c r="D110" s="173"/>
      <c r="E110" s="174">
        <f t="shared" si="21"/>
        <v>25000</v>
      </c>
      <c r="F110" s="174">
        <f t="shared" si="18"/>
        <v>6064583.2999999998</v>
      </c>
      <c r="G110" s="175">
        <f t="shared" si="16"/>
        <v>38540.43</v>
      </c>
      <c r="H110" s="175"/>
      <c r="I110" s="195">
        <f t="shared" si="17"/>
        <v>63540.43</v>
      </c>
      <c r="J110" s="149"/>
      <c r="K110" s="152">
        <f t="shared" si="20"/>
        <v>14120.095555555556</v>
      </c>
      <c r="L110" s="185"/>
      <c r="M110" s="185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</row>
    <row r="111" spans="1:30" s="176" customFormat="1">
      <c r="A111" s="176">
        <f t="shared" si="14"/>
        <v>41</v>
      </c>
      <c r="B111" s="173">
        <f t="shared" si="15"/>
        <v>45991</v>
      </c>
      <c r="C111" s="173">
        <f t="shared" si="19"/>
        <v>46022</v>
      </c>
      <c r="D111" s="173"/>
      <c r="E111" s="174">
        <f t="shared" si="21"/>
        <v>25000</v>
      </c>
      <c r="F111" s="174">
        <f t="shared" si="18"/>
        <v>6039583.2999999998</v>
      </c>
      <c r="G111" s="175">
        <f t="shared" si="16"/>
        <v>37143.440000000002</v>
      </c>
      <c r="H111" s="175"/>
      <c r="I111" s="195">
        <f t="shared" si="17"/>
        <v>62143.44</v>
      </c>
      <c r="J111" s="149"/>
      <c r="K111" s="152">
        <f t="shared" si="20"/>
        <v>13809.653333333334</v>
      </c>
      <c r="L111" s="185"/>
      <c r="M111" s="185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</row>
    <row r="112" spans="1:30" s="171" customFormat="1">
      <c r="A112" s="176">
        <f t="shared" si="14"/>
        <v>42</v>
      </c>
      <c r="B112" s="168">
        <f t="shared" si="15"/>
        <v>46022</v>
      </c>
      <c r="C112" s="168">
        <f t="shared" si="19"/>
        <v>46053</v>
      </c>
      <c r="D112" s="168"/>
      <c r="E112" s="169">
        <f t="shared" si="21"/>
        <v>25000</v>
      </c>
      <c r="F112" s="169">
        <f t="shared" si="18"/>
        <v>6014583.2999999998</v>
      </c>
      <c r="G112" s="170">
        <f t="shared" si="16"/>
        <v>38222.68</v>
      </c>
      <c r="H112" s="170"/>
      <c r="I112" s="194">
        <f t="shared" si="17"/>
        <v>63222.68</v>
      </c>
      <c r="K112" s="172">
        <f t="shared" si="20"/>
        <v>14049.484444444444</v>
      </c>
      <c r="L112" s="172">
        <f>SUM(E101:E112)</f>
        <v>300000</v>
      </c>
      <c r="M112" s="172">
        <f>SUM(G101:G112)</f>
        <v>460280.95999999996</v>
      </c>
    </row>
    <row r="113" spans="1:30" s="176" customFormat="1">
      <c r="A113" s="176">
        <f t="shared" si="14"/>
        <v>43</v>
      </c>
      <c r="B113" s="173">
        <f t="shared" si="15"/>
        <v>46053</v>
      </c>
      <c r="C113" s="173">
        <f t="shared" si="19"/>
        <v>46081</v>
      </c>
      <c r="D113" s="173"/>
      <c r="E113" s="174">
        <f t="shared" si="21"/>
        <v>25000</v>
      </c>
      <c r="F113" s="174">
        <f t="shared" si="18"/>
        <v>5989583.2999999998</v>
      </c>
      <c r="G113" s="175">
        <f t="shared" si="16"/>
        <v>38063.800000000003</v>
      </c>
      <c r="H113" s="175"/>
      <c r="I113" s="195">
        <f t="shared" si="17"/>
        <v>63063.8</v>
      </c>
      <c r="J113" s="149"/>
      <c r="K113" s="152">
        <f t="shared" si="20"/>
        <v>14014.177777777779</v>
      </c>
      <c r="L113" s="185"/>
      <c r="M113" s="185"/>
      <c r="N113" s="152"/>
      <c r="O113" s="152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</row>
    <row r="114" spans="1:30" s="176" customFormat="1">
      <c r="A114" s="176">
        <f t="shared" ref="A114:A177" si="22">A113+1</f>
        <v>44</v>
      </c>
      <c r="B114" s="173">
        <f t="shared" si="15"/>
        <v>46081</v>
      </c>
      <c r="C114" s="173">
        <f t="shared" si="19"/>
        <v>46112</v>
      </c>
      <c r="D114" s="173"/>
      <c r="E114" s="174">
        <f t="shared" si="21"/>
        <v>25000</v>
      </c>
      <c r="F114" s="174">
        <f t="shared" si="18"/>
        <v>5964583.2999999998</v>
      </c>
      <c r="G114" s="175">
        <f t="shared" si="16"/>
        <v>34236.71</v>
      </c>
      <c r="H114" s="175"/>
      <c r="I114" s="195">
        <f t="shared" si="17"/>
        <v>59236.71</v>
      </c>
      <c r="J114" s="149"/>
      <c r="K114" s="152">
        <f t="shared" si="20"/>
        <v>13163.713333333333</v>
      </c>
      <c r="L114" s="185"/>
      <c r="M114" s="185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</row>
    <row r="115" spans="1:30" s="176" customFormat="1">
      <c r="A115" s="176">
        <f t="shared" si="22"/>
        <v>45</v>
      </c>
      <c r="B115" s="173">
        <f t="shared" si="15"/>
        <v>46112</v>
      </c>
      <c r="C115" s="173">
        <f t="shared" si="19"/>
        <v>46142</v>
      </c>
      <c r="D115" s="173"/>
      <c r="E115" s="174">
        <f t="shared" si="21"/>
        <v>25000</v>
      </c>
      <c r="F115" s="174">
        <f t="shared" si="18"/>
        <v>5939583.2999999998</v>
      </c>
      <c r="G115" s="175">
        <f t="shared" si="16"/>
        <v>37746.050000000003</v>
      </c>
      <c r="H115" s="175"/>
      <c r="I115" s="195">
        <f t="shared" si="17"/>
        <v>62746.05</v>
      </c>
      <c r="J115" s="149"/>
      <c r="K115" s="152">
        <f t="shared" si="20"/>
        <v>13943.566666666668</v>
      </c>
      <c r="L115" s="185"/>
      <c r="M115" s="185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</row>
    <row r="116" spans="1:30" s="176" customFormat="1">
      <c r="A116" s="176">
        <f t="shared" si="22"/>
        <v>46</v>
      </c>
      <c r="B116" s="173">
        <f t="shared" si="15"/>
        <v>46142</v>
      </c>
      <c r="C116" s="173">
        <f t="shared" si="19"/>
        <v>46173</v>
      </c>
      <c r="D116" s="173"/>
      <c r="E116" s="174">
        <f t="shared" si="21"/>
        <v>25000</v>
      </c>
      <c r="F116" s="174">
        <f t="shared" si="18"/>
        <v>5914583.2999999998</v>
      </c>
      <c r="G116" s="175">
        <f t="shared" si="16"/>
        <v>36374.69</v>
      </c>
      <c r="H116" s="175"/>
      <c r="I116" s="195">
        <f t="shared" si="17"/>
        <v>61374.69</v>
      </c>
      <c r="J116" s="149"/>
      <c r="K116" s="152">
        <f t="shared" si="20"/>
        <v>13638.82</v>
      </c>
      <c r="L116" s="185"/>
      <c r="M116" s="185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</row>
    <row r="117" spans="1:30" s="176" customFormat="1">
      <c r="A117" s="176">
        <f t="shared" si="22"/>
        <v>47</v>
      </c>
      <c r="B117" s="173">
        <f t="shared" si="15"/>
        <v>46173</v>
      </c>
      <c r="C117" s="173">
        <f t="shared" si="19"/>
        <v>46203</v>
      </c>
      <c r="D117" s="173"/>
      <c r="E117" s="174">
        <f t="shared" si="21"/>
        <v>25000</v>
      </c>
      <c r="F117" s="174">
        <f t="shared" si="18"/>
        <v>5889583.2999999998</v>
      </c>
      <c r="G117" s="175">
        <f t="shared" si="16"/>
        <v>37428.300000000003</v>
      </c>
      <c r="H117" s="175"/>
      <c r="I117" s="195">
        <f t="shared" si="17"/>
        <v>62428.3</v>
      </c>
      <c r="J117" s="149"/>
      <c r="K117" s="152">
        <f t="shared" si="20"/>
        <v>13872.955555555556</v>
      </c>
      <c r="L117" s="185"/>
      <c r="M117" s="185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</row>
    <row r="118" spans="1:30" s="176" customFormat="1">
      <c r="A118" s="176">
        <f t="shared" si="22"/>
        <v>48</v>
      </c>
      <c r="B118" s="173">
        <f t="shared" si="15"/>
        <v>46203</v>
      </c>
      <c r="C118" s="173">
        <f t="shared" si="19"/>
        <v>46234</v>
      </c>
      <c r="D118" s="173"/>
      <c r="E118" s="174">
        <f t="shared" si="21"/>
        <v>25000</v>
      </c>
      <c r="F118" s="174">
        <f t="shared" si="18"/>
        <v>5864583.2999999998</v>
      </c>
      <c r="G118" s="175">
        <f t="shared" si="16"/>
        <v>36067.19</v>
      </c>
      <c r="H118" s="175"/>
      <c r="I118" s="195">
        <f t="shared" si="17"/>
        <v>61067.19</v>
      </c>
      <c r="J118" s="149"/>
      <c r="K118" s="152">
        <f t="shared" si="20"/>
        <v>13570.486666666668</v>
      </c>
      <c r="L118" s="185"/>
      <c r="M118" s="185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</row>
    <row r="119" spans="1:30" s="176" customFormat="1">
      <c r="A119" s="176">
        <f t="shared" si="22"/>
        <v>49</v>
      </c>
      <c r="B119" s="173">
        <f t="shared" si="15"/>
        <v>46234</v>
      </c>
      <c r="C119" s="173">
        <f t="shared" si="19"/>
        <v>46265</v>
      </c>
      <c r="D119" s="173"/>
      <c r="E119" s="174">
        <f t="shared" si="21"/>
        <v>25000</v>
      </c>
      <c r="F119" s="174">
        <f t="shared" si="18"/>
        <v>5839583.2999999998</v>
      </c>
      <c r="G119" s="175">
        <f t="shared" si="16"/>
        <v>37110.550000000003</v>
      </c>
      <c r="H119" s="175"/>
      <c r="I119" s="195">
        <f t="shared" si="17"/>
        <v>62110.55</v>
      </c>
      <c r="J119" s="149"/>
      <c r="K119" s="152">
        <f t="shared" si="20"/>
        <v>13802.344444444445</v>
      </c>
      <c r="L119" s="185"/>
      <c r="M119" s="185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</row>
    <row r="120" spans="1:30" s="176" customFormat="1">
      <c r="A120" s="176">
        <f t="shared" si="22"/>
        <v>50</v>
      </c>
      <c r="B120" s="173">
        <f t="shared" si="15"/>
        <v>46265</v>
      </c>
      <c r="C120" s="173">
        <f t="shared" si="19"/>
        <v>46295</v>
      </c>
      <c r="D120" s="173"/>
      <c r="E120" s="174">
        <f t="shared" si="21"/>
        <v>25000</v>
      </c>
      <c r="F120" s="174">
        <f t="shared" si="18"/>
        <v>5814583.2999999998</v>
      </c>
      <c r="G120" s="175">
        <f t="shared" si="16"/>
        <v>36951.68</v>
      </c>
      <c r="H120" s="175"/>
      <c r="I120" s="195">
        <f t="shared" si="17"/>
        <v>61951.68</v>
      </c>
      <c r="J120" s="149"/>
      <c r="K120" s="152">
        <f t="shared" si="20"/>
        <v>13767.04</v>
      </c>
      <c r="L120" s="185"/>
      <c r="M120" s="185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</row>
    <row r="121" spans="1:30" s="176" customFormat="1">
      <c r="A121" s="176">
        <f t="shared" si="22"/>
        <v>51</v>
      </c>
      <c r="B121" s="173">
        <f t="shared" si="15"/>
        <v>46295</v>
      </c>
      <c r="C121" s="173">
        <f t="shared" si="19"/>
        <v>46326</v>
      </c>
      <c r="D121" s="173"/>
      <c r="E121" s="174">
        <f t="shared" si="21"/>
        <v>25000</v>
      </c>
      <c r="F121" s="174">
        <f t="shared" si="18"/>
        <v>5789583.2999999998</v>
      </c>
      <c r="G121" s="175">
        <f t="shared" si="16"/>
        <v>35605.94</v>
      </c>
      <c r="H121" s="175"/>
      <c r="I121" s="195">
        <f t="shared" si="17"/>
        <v>60605.94</v>
      </c>
      <c r="J121" s="149"/>
      <c r="K121" s="152">
        <f t="shared" si="20"/>
        <v>13467.986666666668</v>
      </c>
      <c r="L121" s="185"/>
      <c r="M121" s="185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</row>
    <row r="122" spans="1:30" s="176" customFormat="1">
      <c r="A122" s="176">
        <f t="shared" si="22"/>
        <v>52</v>
      </c>
      <c r="B122" s="173">
        <f t="shared" si="15"/>
        <v>46326</v>
      </c>
      <c r="C122" s="173">
        <f t="shared" si="19"/>
        <v>46356</v>
      </c>
      <c r="D122" s="173"/>
      <c r="E122" s="174">
        <f t="shared" si="21"/>
        <v>25000</v>
      </c>
      <c r="F122" s="174">
        <f t="shared" si="18"/>
        <v>5764583.2999999998</v>
      </c>
      <c r="G122" s="175">
        <f t="shared" si="16"/>
        <v>36633.93</v>
      </c>
      <c r="H122" s="175"/>
      <c r="I122" s="195">
        <f t="shared" si="17"/>
        <v>61633.93</v>
      </c>
      <c r="J122" s="149"/>
      <c r="K122" s="152">
        <f t="shared" si="20"/>
        <v>13696.42888888889</v>
      </c>
      <c r="L122" s="185"/>
      <c r="M122" s="185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</row>
    <row r="123" spans="1:30" s="176" customFormat="1">
      <c r="A123" s="176">
        <f t="shared" si="22"/>
        <v>53</v>
      </c>
      <c r="B123" s="173">
        <f t="shared" si="15"/>
        <v>46356</v>
      </c>
      <c r="C123" s="173">
        <f t="shared" si="19"/>
        <v>46387</v>
      </c>
      <c r="D123" s="173"/>
      <c r="E123" s="174">
        <f t="shared" si="21"/>
        <v>25000</v>
      </c>
      <c r="F123" s="174">
        <f t="shared" si="18"/>
        <v>5739583.2999999998</v>
      </c>
      <c r="G123" s="175">
        <f t="shared" si="16"/>
        <v>35298.44</v>
      </c>
      <c r="H123" s="175"/>
      <c r="I123" s="195">
        <f t="shared" si="17"/>
        <v>60298.44</v>
      </c>
      <c r="J123" s="149"/>
      <c r="K123" s="152">
        <f t="shared" si="20"/>
        <v>13399.653333333334</v>
      </c>
      <c r="L123" s="185"/>
      <c r="M123" s="185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</row>
    <row r="124" spans="1:30" s="171" customFormat="1">
      <c r="A124" s="176">
        <f t="shared" si="22"/>
        <v>54</v>
      </c>
      <c r="B124" s="168">
        <f t="shared" si="15"/>
        <v>46387</v>
      </c>
      <c r="C124" s="168">
        <f t="shared" si="19"/>
        <v>46418</v>
      </c>
      <c r="D124" s="168"/>
      <c r="E124" s="169">
        <f t="shared" si="21"/>
        <v>25000</v>
      </c>
      <c r="F124" s="169">
        <f t="shared" si="18"/>
        <v>5714583.2999999998</v>
      </c>
      <c r="G124" s="170">
        <f t="shared" si="16"/>
        <v>36316.18</v>
      </c>
      <c r="H124" s="170"/>
      <c r="I124" s="194">
        <f t="shared" si="17"/>
        <v>61316.18</v>
      </c>
      <c r="K124" s="172">
        <f t="shared" si="20"/>
        <v>13625.817777777778</v>
      </c>
      <c r="L124" s="172">
        <f>SUM(E113:E124)</f>
        <v>300000</v>
      </c>
      <c r="M124" s="172">
        <f>SUM(G113:G124)</f>
        <v>437833.45999999996</v>
      </c>
    </row>
    <row r="125" spans="1:30" s="176" customFormat="1">
      <c r="A125" s="176">
        <f t="shared" si="22"/>
        <v>55</v>
      </c>
      <c r="B125" s="173">
        <f t="shared" si="15"/>
        <v>46418</v>
      </c>
      <c r="C125" s="173">
        <f t="shared" si="19"/>
        <v>46446</v>
      </c>
      <c r="D125" s="173"/>
      <c r="E125" s="174">
        <v>35000</v>
      </c>
      <c r="F125" s="174">
        <f t="shared" si="18"/>
        <v>5689583.2999999998</v>
      </c>
      <c r="G125" s="175">
        <f t="shared" si="16"/>
        <v>36157.300000000003</v>
      </c>
      <c r="H125" s="175"/>
      <c r="I125" s="195">
        <f t="shared" si="17"/>
        <v>71157.3</v>
      </c>
      <c r="J125" s="149"/>
      <c r="K125" s="152">
        <f t="shared" si="20"/>
        <v>15812.733333333334</v>
      </c>
      <c r="L125" s="185"/>
      <c r="M125" s="185"/>
      <c r="N125" s="152"/>
      <c r="O125" s="152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</row>
    <row r="126" spans="1:30" s="176" customFormat="1">
      <c r="A126" s="176">
        <f t="shared" si="22"/>
        <v>56</v>
      </c>
      <c r="B126" s="173">
        <f t="shared" si="15"/>
        <v>46446</v>
      </c>
      <c r="C126" s="173">
        <f t="shared" si="19"/>
        <v>46477</v>
      </c>
      <c r="D126" s="173"/>
      <c r="E126" s="174">
        <f t="shared" si="21"/>
        <v>35000</v>
      </c>
      <c r="F126" s="174">
        <f t="shared" si="18"/>
        <v>5654583.2999999998</v>
      </c>
      <c r="G126" s="175">
        <f t="shared" si="16"/>
        <v>32457.31</v>
      </c>
      <c r="H126" s="175"/>
      <c r="I126" s="195">
        <f t="shared" si="17"/>
        <v>67457.31</v>
      </c>
      <c r="J126" s="149"/>
      <c r="K126" s="152">
        <f t="shared" si="20"/>
        <v>14990.513333333332</v>
      </c>
      <c r="L126" s="185"/>
      <c r="M126" s="185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</row>
    <row r="127" spans="1:30" s="176" customFormat="1">
      <c r="A127" s="176">
        <f t="shared" si="22"/>
        <v>57</v>
      </c>
      <c r="B127" s="173">
        <f t="shared" si="15"/>
        <v>46477</v>
      </c>
      <c r="C127" s="173">
        <f t="shared" si="19"/>
        <v>46507</v>
      </c>
      <c r="D127" s="173"/>
      <c r="E127" s="174">
        <f t="shared" si="21"/>
        <v>35000</v>
      </c>
      <c r="F127" s="174">
        <f t="shared" si="18"/>
        <v>5619583.2999999998</v>
      </c>
      <c r="G127" s="175">
        <f t="shared" si="16"/>
        <v>35712.449999999997</v>
      </c>
      <c r="H127" s="175"/>
      <c r="I127" s="195">
        <f t="shared" si="17"/>
        <v>70712.45</v>
      </c>
      <c r="J127" s="149"/>
      <c r="K127" s="152">
        <f t="shared" si="20"/>
        <v>15713.877777777778</v>
      </c>
      <c r="L127" s="185"/>
      <c r="M127" s="185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</row>
    <row r="128" spans="1:30" s="176" customFormat="1">
      <c r="A128" s="176">
        <f t="shared" si="22"/>
        <v>58</v>
      </c>
      <c r="B128" s="173">
        <f t="shared" si="15"/>
        <v>46507</v>
      </c>
      <c r="C128" s="173">
        <f t="shared" si="19"/>
        <v>46538</v>
      </c>
      <c r="D128" s="173"/>
      <c r="E128" s="174">
        <f t="shared" si="21"/>
        <v>35000</v>
      </c>
      <c r="F128" s="174">
        <f t="shared" si="18"/>
        <v>5584583.2999999998</v>
      </c>
      <c r="G128" s="175">
        <f t="shared" si="16"/>
        <v>34345.19</v>
      </c>
      <c r="H128" s="175"/>
      <c r="I128" s="195">
        <f t="shared" si="17"/>
        <v>69345.19</v>
      </c>
      <c r="J128" s="149"/>
      <c r="K128" s="152">
        <f t="shared" si="20"/>
        <v>15410.042222222222</v>
      </c>
      <c r="L128" s="185"/>
      <c r="M128" s="185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</row>
    <row r="129" spans="1:30" s="176" customFormat="1">
      <c r="A129" s="176">
        <f t="shared" si="22"/>
        <v>59</v>
      </c>
      <c r="B129" s="173">
        <f t="shared" si="15"/>
        <v>46538</v>
      </c>
      <c r="C129" s="173">
        <f t="shared" si="19"/>
        <v>46568</v>
      </c>
      <c r="D129" s="173"/>
      <c r="E129" s="174">
        <f t="shared" si="21"/>
        <v>35000</v>
      </c>
      <c r="F129" s="174">
        <f t="shared" si="18"/>
        <v>5549583.2999999998</v>
      </c>
      <c r="G129" s="175">
        <f t="shared" si="16"/>
        <v>35267.599999999999</v>
      </c>
      <c r="H129" s="175"/>
      <c r="I129" s="195">
        <f t="shared" si="17"/>
        <v>70267.600000000006</v>
      </c>
      <c r="J129" s="149"/>
      <c r="K129" s="152">
        <f t="shared" si="20"/>
        <v>15615.022222222224</v>
      </c>
      <c r="L129" s="185"/>
      <c r="M129" s="185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</row>
    <row r="130" spans="1:30" s="176" customFormat="1">
      <c r="A130" s="176">
        <f t="shared" si="22"/>
        <v>60</v>
      </c>
      <c r="B130" s="173">
        <f t="shared" si="15"/>
        <v>46568</v>
      </c>
      <c r="C130" s="173">
        <f t="shared" si="19"/>
        <v>46599</v>
      </c>
      <c r="D130" s="173"/>
      <c r="E130" s="174">
        <f t="shared" si="21"/>
        <v>35000</v>
      </c>
      <c r="F130" s="174">
        <f t="shared" si="18"/>
        <v>5514583.2999999998</v>
      </c>
      <c r="G130" s="175">
        <f t="shared" si="16"/>
        <v>33914.69</v>
      </c>
      <c r="H130" s="175"/>
      <c r="I130" s="195">
        <f t="shared" si="17"/>
        <v>68914.69</v>
      </c>
      <c r="J130" s="149"/>
      <c r="K130" s="152">
        <f t="shared" si="20"/>
        <v>15314.375555555556</v>
      </c>
      <c r="L130" s="185"/>
      <c r="M130" s="185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</row>
    <row r="131" spans="1:30" s="176" customFormat="1">
      <c r="A131" s="176">
        <f t="shared" si="22"/>
        <v>61</v>
      </c>
      <c r="B131" s="173">
        <f t="shared" si="15"/>
        <v>46599</v>
      </c>
      <c r="C131" s="173">
        <f t="shared" si="19"/>
        <v>46630</v>
      </c>
      <c r="D131" s="173"/>
      <c r="E131" s="174">
        <f t="shared" si="21"/>
        <v>35000</v>
      </c>
      <c r="F131" s="174">
        <f t="shared" si="18"/>
        <v>5479583.2999999998</v>
      </c>
      <c r="G131" s="175">
        <f t="shared" si="16"/>
        <v>34822.75</v>
      </c>
      <c r="H131" s="175"/>
      <c r="I131" s="195">
        <f t="shared" si="17"/>
        <v>69822.75</v>
      </c>
      <c r="J131" s="149"/>
      <c r="K131" s="152">
        <f t="shared" si="20"/>
        <v>15516.166666666666</v>
      </c>
      <c r="L131" s="185"/>
      <c r="M131" s="185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</row>
    <row r="132" spans="1:30" s="176" customFormat="1">
      <c r="A132" s="176">
        <f t="shared" si="22"/>
        <v>62</v>
      </c>
      <c r="B132" s="173">
        <f t="shared" si="15"/>
        <v>46630</v>
      </c>
      <c r="C132" s="173">
        <f t="shared" si="19"/>
        <v>46660</v>
      </c>
      <c r="D132" s="173"/>
      <c r="E132" s="174">
        <f t="shared" si="21"/>
        <v>35000</v>
      </c>
      <c r="F132" s="174">
        <f t="shared" si="18"/>
        <v>5444583.2999999998</v>
      </c>
      <c r="G132" s="175">
        <f t="shared" si="16"/>
        <v>34600.33</v>
      </c>
      <c r="H132" s="175"/>
      <c r="I132" s="195">
        <f t="shared" si="17"/>
        <v>69600.33</v>
      </c>
      <c r="J132" s="149"/>
      <c r="K132" s="152">
        <f t="shared" si="20"/>
        <v>15466.74</v>
      </c>
      <c r="L132" s="185"/>
      <c r="M132" s="185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</row>
    <row r="133" spans="1:30" s="176" customFormat="1">
      <c r="A133" s="176">
        <f t="shared" si="22"/>
        <v>63</v>
      </c>
      <c r="B133" s="173">
        <f t="shared" si="15"/>
        <v>46660</v>
      </c>
      <c r="C133" s="173">
        <f t="shared" si="19"/>
        <v>46691</v>
      </c>
      <c r="D133" s="173"/>
      <c r="E133" s="174">
        <f t="shared" si="21"/>
        <v>35000</v>
      </c>
      <c r="F133" s="174">
        <f t="shared" si="18"/>
        <v>5409583.2999999998</v>
      </c>
      <c r="G133" s="175">
        <f t="shared" si="16"/>
        <v>33268.94</v>
      </c>
      <c r="H133" s="175"/>
      <c r="I133" s="195">
        <f t="shared" si="17"/>
        <v>68268.94</v>
      </c>
      <c r="J133" s="149"/>
      <c r="K133" s="152">
        <f t="shared" si="20"/>
        <v>15170.875555555556</v>
      </c>
      <c r="L133" s="185"/>
      <c r="M133" s="185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</row>
    <row r="134" spans="1:30" s="176" customFormat="1">
      <c r="A134" s="176">
        <f t="shared" si="22"/>
        <v>64</v>
      </c>
      <c r="B134" s="173">
        <f t="shared" si="15"/>
        <v>46691</v>
      </c>
      <c r="C134" s="173">
        <f t="shared" si="19"/>
        <v>46721</v>
      </c>
      <c r="D134" s="173"/>
      <c r="E134" s="174">
        <f t="shared" si="21"/>
        <v>35000</v>
      </c>
      <c r="F134" s="174">
        <f t="shared" si="18"/>
        <v>5374583.2999999998</v>
      </c>
      <c r="G134" s="175">
        <f t="shared" si="16"/>
        <v>34155.480000000003</v>
      </c>
      <c r="H134" s="175"/>
      <c r="I134" s="195">
        <f t="shared" si="17"/>
        <v>69155.48000000001</v>
      </c>
      <c r="J134" s="149"/>
      <c r="K134" s="152">
        <f t="shared" si="20"/>
        <v>15367.884444444448</v>
      </c>
      <c r="L134" s="185"/>
      <c r="M134" s="185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</row>
    <row r="135" spans="1:30" s="176" customFormat="1">
      <c r="A135" s="176">
        <f t="shared" si="22"/>
        <v>65</v>
      </c>
      <c r="B135" s="173">
        <f t="shared" si="15"/>
        <v>46721</v>
      </c>
      <c r="C135" s="173">
        <f t="shared" si="19"/>
        <v>46752</v>
      </c>
      <c r="D135" s="173"/>
      <c r="E135" s="174">
        <f t="shared" si="21"/>
        <v>35000</v>
      </c>
      <c r="F135" s="174">
        <f t="shared" si="18"/>
        <v>5339583.3</v>
      </c>
      <c r="G135" s="175">
        <f t="shared" si="16"/>
        <v>32838.44</v>
      </c>
      <c r="H135" s="175"/>
      <c r="I135" s="195">
        <f t="shared" si="17"/>
        <v>67838.44</v>
      </c>
      <c r="J135" s="149"/>
      <c r="K135" s="152">
        <f t="shared" si="20"/>
        <v>15075.20888888889</v>
      </c>
      <c r="L135" s="185"/>
      <c r="M135" s="185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</row>
    <row r="136" spans="1:30" s="171" customFormat="1">
      <c r="A136" s="176">
        <f t="shared" si="22"/>
        <v>66</v>
      </c>
      <c r="B136" s="168">
        <f t="shared" si="15"/>
        <v>46752</v>
      </c>
      <c r="C136" s="168">
        <f t="shared" si="19"/>
        <v>46783</v>
      </c>
      <c r="D136" s="168"/>
      <c r="E136" s="169">
        <f t="shared" si="21"/>
        <v>35000</v>
      </c>
      <c r="F136" s="169">
        <f t="shared" si="18"/>
        <v>5304583.3</v>
      </c>
      <c r="G136" s="170">
        <f t="shared" si="16"/>
        <v>33710.629999999997</v>
      </c>
      <c r="H136" s="170"/>
      <c r="I136" s="194">
        <f t="shared" si="17"/>
        <v>68710.63</v>
      </c>
      <c r="K136" s="172">
        <f t="shared" si="20"/>
        <v>15269.02888888889</v>
      </c>
      <c r="L136" s="172">
        <f>SUM(E125:E136)</f>
        <v>420000</v>
      </c>
      <c r="M136" s="172">
        <f>SUM(G125:G136)</f>
        <v>411251.11</v>
      </c>
    </row>
    <row r="137" spans="1:30" s="176" customFormat="1">
      <c r="A137" s="176">
        <f t="shared" si="22"/>
        <v>67</v>
      </c>
      <c r="B137" s="173">
        <f t="shared" si="15"/>
        <v>46783</v>
      </c>
      <c r="C137" s="173">
        <f t="shared" si="19"/>
        <v>46812</v>
      </c>
      <c r="D137" s="173"/>
      <c r="E137" s="174">
        <v>50000</v>
      </c>
      <c r="F137" s="174">
        <f t="shared" si="18"/>
        <v>5269583.3</v>
      </c>
      <c r="G137" s="175">
        <f t="shared" si="16"/>
        <v>33488.199999999997</v>
      </c>
      <c r="H137" s="175"/>
      <c r="I137" s="195">
        <f t="shared" si="17"/>
        <v>83488.2</v>
      </c>
      <c r="J137" s="149"/>
      <c r="K137" s="152">
        <f t="shared" si="20"/>
        <v>18552.933333333334</v>
      </c>
      <c r="L137" s="185"/>
      <c r="M137" s="185"/>
      <c r="N137" s="152"/>
      <c r="O137" s="152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</row>
    <row r="138" spans="1:30" s="176" customFormat="1">
      <c r="A138" s="176">
        <f t="shared" si="22"/>
        <v>68</v>
      </c>
      <c r="B138" s="173">
        <f t="shared" si="15"/>
        <v>46812</v>
      </c>
      <c r="C138" s="173">
        <f t="shared" si="19"/>
        <v>46843</v>
      </c>
      <c r="D138" s="173"/>
      <c r="E138" s="174">
        <f t="shared" si="21"/>
        <v>50000</v>
      </c>
      <c r="F138" s="174">
        <f t="shared" si="18"/>
        <v>5219583.3</v>
      </c>
      <c r="G138" s="175">
        <f t="shared" si="16"/>
        <v>31030.42</v>
      </c>
      <c r="H138" s="175"/>
      <c r="I138" s="195">
        <f t="shared" si="17"/>
        <v>81030.42</v>
      </c>
      <c r="J138" s="149"/>
      <c r="K138" s="152">
        <f t="shared" si="20"/>
        <v>18006.759999999998</v>
      </c>
      <c r="L138" s="185"/>
      <c r="M138" s="185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</row>
    <row r="139" spans="1:30" s="176" customFormat="1">
      <c r="A139" s="176">
        <f t="shared" si="22"/>
        <v>69</v>
      </c>
      <c r="B139" s="173">
        <f t="shared" si="15"/>
        <v>46843</v>
      </c>
      <c r="C139" s="173">
        <f t="shared" si="19"/>
        <v>46873</v>
      </c>
      <c r="D139" s="173"/>
      <c r="E139" s="174">
        <f t="shared" si="21"/>
        <v>50000</v>
      </c>
      <c r="F139" s="174">
        <f t="shared" si="18"/>
        <v>5169583.3</v>
      </c>
      <c r="G139" s="175">
        <f t="shared" si="16"/>
        <v>32852.699999999997</v>
      </c>
      <c r="H139" s="175"/>
      <c r="I139" s="195">
        <f t="shared" si="17"/>
        <v>82852.7</v>
      </c>
      <c r="J139" s="149"/>
      <c r="K139" s="152">
        <f t="shared" si="20"/>
        <v>18411.711111111112</v>
      </c>
      <c r="L139" s="185"/>
      <c r="M139" s="185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</row>
    <row r="140" spans="1:30" s="176" customFormat="1">
      <c r="A140" s="176">
        <f t="shared" si="22"/>
        <v>70</v>
      </c>
      <c r="B140" s="173">
        <f t="shared" si="15"/>
        <v>46873</v>
      </c>
      <c r="C140" s="173">
        <f t="shared" si="19"/>
        <v>46904</v>
      </c>
      <c r="D140" s="173"/>
      <c r="E140" s="174">
        <f t="shared" si="21"/>
        <v>50000</v>
      </c>
      <c r="F140" s="174">
        <f t="shared" si="18"/>
        <v>5119583.3</v>
      </c>
      <c r="G140" s="175">
        <f t="shared" si="16"/>
        <v>31485.439999999999</v>
      </c>
      <c r="H140" s="175"/>
      <c r="I140" s="195">
        <f t="shared" si="17"/>
        <v>81485.440000000002</v>
      </c>
      <c r="J140" s="149"/>
      <c r="K140" s="152">
        <f t="shared" si="20"/>
        <v>18107.875555555554</v>
      </c>
      <c r="L140" s="185"/>
      <c r="M140" s="185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</row>
    <row r="141" spans="1:30" s="176" customFormat="1">
      <c r="A141" s="176">
        <f t="shared" si="22"/>
        <v>71</v>
      </c>
      <c r="B141" s="173">
        <f t="shared" si="15"/>
        <v>46904</v>
      </c>
      <c r="C141" s="173">
        <f t="shared" si="19"/>
        <v>46934</v>
      </c>
      <c r="D141" s="173"/>
      <c r="E141" s="174">
        <f t="shared" si="21"/>
        <v>50000</v>
      </c>
      <c r="F141" s="174">
        <f t="shared" si="18"/>
        <v>5069583.3</v>
      </c>
      <c r="G141" s="175">
        <f t="shared" si="16"/>
        <v>32217.200000000001</v>
      </c>
      <c r="H141" s="175"/>
      <c r="I141" s="195">
        <f t="shared" si="17"/>
        <v>82217.2</v>
      </c>
      <c r="J141" s="149"/>
      <c r="K141" s="152">
        <f t="shared" si="20"/>
        <v>18270.488888888889</v>
      </c>
      <c r="L141" s="185"/>
      <c r="M141" s="185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</row>
    <row r="142" spans="1:30" s="176" customFormat="1">
      <c r="A142" s="176">
        <f t="shared" si="22"/>
        <v>72</v>
      </c>
      <c r="B142" s="173">
        <f t="shared" si="15"/>
        <v>46934</v>
      </c>
      <c r="C142" s="173">
        <f t="shared" si="19"/>
        <v>46965</v>
      </c>
      <c r="D142" s="173"/>
      <c r="E142" s="174">
        <f t="shared" si="21"/>
        <v>50000</v>
      </c>
      <c r="F142" s="174">
        <f t="shared" si="18"/>
        <v>5019583.3</v>
      </c>
      <c r="G142" s="175">
        <f t="shared" si="16"/>
        <v>30870.44</v>
      </c>
      <c r="H142" s="175"/>
      <c r="I142" s="195">
        <f t="shared" si="17"/>
        <v>80870.44</v>
      </c>
      <c r="J142" s="149"/>
      <c r="K142" s="152">
        <f t="shared" si="20"/>
        <v>17971.20888888889</v>
      </c>
      <c r="L142" s="185"/>
      <c r="M142" s="185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</row>
    <row r="143" spans="1:30" s="176" customFormat="1">
      <c r="A143" s="176">
        <f t="shared" si="22"/>
        <v>73</v>
      </c>
      <c r="B143" s="173">
        <f t="shared" si="15"/>
        <v>46965</v>
      </c>
      <c r="C143" s="173">
        <f t="shared" si="19"/>
        <v>46996</v>
      </c>
      <c r="D143" s="173"/>
      <c r="E143" s="174">
        <f t="shared" si="21"/>
        <v>50000</v>
      </c>
      <c r="F143" s="174">
        <f t="shared" si="18"/>
        <v>4969583.3</v>
      </c>
      <c r="G143" s="175">
        <f t="shared" si="16"/>
        <v>31581.7</v>
      </c>
      <c r="H143" s="175"/>
      <c r="I143" s="195">
        <f t="shared" si="17"/>
        <v>81581.7</v>
      </c>
      <c r="J143" s="149"/>
      <c r="K143" s="152">
        <f t="shared" si="20"/>
        <v>18129.266666666666</v>
      </c>
      <c r="L143" s="185"/>
      <c r="M143" s="185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</row>
    <row r="144" spans="1:30" s="176" customFormat="1">
      <c r="A144" s="176">
        <f t="shared" si="22"/>
        <v>74</v>
      </c>
      <c r="B144" s="173">
        <f t="shared" si="15"/>
        <v>46996</v>
      </c>
      <c r="C144" s="173">
        <f t="shared" si="19"/>
        <v>47026</v>
      </c>
      <c r="D144" s="173"/>
      <c r="E144" s="174">
        <f t="shared" si="21"/>
        <v>50000</v>
      </c>
      <c r="F144" s="174">
        <f t="shared" si="18"/>
        <v>4919583.3</v>
      </c>
      <c r="G144" s="175">
        <f t="shared" si="16"/>
        <v>31263.95</v>
      </c>
      <c r="H144" s="175"/>
      <c r="I144" s="195">
        <f t="shared" si="17"/>
        <v>81263.95</v>
      </c>
      <c r="J144" s="149"/>
      <c r="K144" s="152">
        <f t="shared" si="20"/>
        <v>18058.655555555553</v>
      </c>
      <c r="L144" s="185"/>
      <c r="M144" s="185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</row>
    <row r="145" spans="1:30" s="176" customFormat="1">
      <c r="A145" s="176">
        <f t="shared" si="22"/>
        <v>75</v>
      </c>
      <c r="B145" s="173">
        <f t="shared" si="15"/>
        <v>47026</v>
      </c>
      <c r="C145" s="173">
        <f t="shared" si="19"/>
        <v>47057</v>
      </c>
      <c r="D145" s="173"/>
      <c r="E145" s="174">
        <f t="shared" si="21"/>
        <v>50000</v>
      </c>
      <c r="F145" s="174">
        <f t="shared" si="18"/>
        <v>4869583.3</v>
      </c>
      <c r="G145" s="175">
        <f t="shared" si="16"/>
        <v>29947.94</v>
      </c>
      <c r="H145" s="175"/>
      <c r="I145" s="195">
        <f t="shared" si="17"/>
        <v>79947.94</v>
      </c>
      <c r="J145" s="149"/>
      <c r="K145" s="152">
        <f t="shared" si="20"/>
        <v>17766.20888888889</v>
      </c>
      <c r="L145" s="185"/>
      <c r="M145" s="185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</row>
    <row r="146" spans="1:30" s="176" customFormat="1">
      <c r="A146" s="176">
        <f t="shared" si="22"/>
        <v>76</v>
      </c>
      <c r="B146" s="173">
        <f t="shared" si="15"/>
        <v>47057</v>
      </c>
      <c r="C146" s="173">
        <f t="shared" si="19"/>
        <v>47087</v>
      </c>
      <c r="D146" s="173"/>
      <c r="E146" s="174">
        <f t="shared" si="21"/>
        <v>50000</v>
      </c>
      <c r="F146" s="174">
        <f t="shared" si="18"/>
        <v>4819583.3</v>
      </c>
      <c r="G146" s="175">
        <f t="shared" si="16"/>
        <v>30628.45</v>
      </c>
      <c r="H146" s="175"/>
      <c r="I146" s="195">
        <f t="shared" si="17"/>
        <v>80628.45</v>
      </c>
      <c r="J146" s="149"/>
      <c r="K146" s="152">
        <f t="shared" si="20"/>
        <v>17917.433333333334</v>
      </c>
      <c r="L146" s="185"/>
      <c r="M146" s="185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</row>
    <row r="147" spans="1:30" s="176" customFormat="1">
      <c r="A147" s="176">
        <f t="shared" si="22"/>
        <v>77</v>
      </c>
      <c r="B147" s="173">
        <f t="shared" si="15"/>
        <v>47087</v>
      </c>
      <c r="C147" s="173">
        <f t="shared" si="19"/>
        <v>47118</v>
      </c>
      <c r="D147" s="173"/>
      <c r="E147" s="174">
        <f t="shared" si="21"/>
        <v>50000</v>
      </c>
      <c r="F147" s="174">
        <f t="shared" si="18"/>
        <v>4769583.3</v>
      </c>
      <c r="G147" s="175">
        <f t="shared" si="16"/>
        <v>29332.94</v>
      </c>
      <c r="H147" s="175"/>
      <c r="I147" s="195">
        <f t="shared" si="17"/>
        <v>79332.94</v>
      </c>
      <c r="J147" s="149"/>
      <c r="K147" s="152">
        <f t="shared" si="20"/>
        <v>17629.542222222222</v>
      </c>
      <c r="L147" s="185"/>
      <c r="M147" s="185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</row>
    <row r="148" spans="1:30" s="171" customFormat="1">
      <c r="A148" s="176">
        <f t="shared" si="22"/>
        <v>78</v>
      </c>
      <c r="B148" s="168">
        <f t="shared" ref="B148:B211" si="23">EOMONTH(B147,1)</f>
        <v>47118</v>
      </c>
      <c r="C148" s="168">
        <f t="shared" si="19"/>
        <v>47149</v>
      </c>
      <c r="D148" s="168"/>
      <c r="E148" s="169">
        <f t="shared" si="21"/>
        <v>50000</v>
      </c>
      <c r="F148" s="169">
        <f t="shared" si="18"/>
        <v>4719583.3</v>
      </c>
      <c r="G148" s="170">
        <f t="shared" si="16"/>
        <v>29992.95</v>
      </c>
      <c r="H148" s="170"/>
      <c r="I148" s="194">
        <f t="shared" si="17"/>
        <v>79992.95</v>
      </c>
      <c r="K148" s="172">
        <f t="shared" si="20"/>
        <v>17776.211111111112</v>
      </c>
      <c r="L148" s="172">
        <f>SUM(E137:E148)</f>
        <v>600000</v>
      </c>
      <c r="M148" s="172">
        <f>SUM(G137:G148)</f>
        <v>374692.33</v>
      </c>
    </row>
    <row r="149" spans="1:30" s="176" customFormat="1">
      <c r="A149" s="176">
        <f t="shared" si="22"/>
        <v>79</v>
      </c>
      <c r="B149" s="173">
        <f t="shared" si="23"/>
        <v>47149</v>
      </c>
      <c r="C149" s="173">
        <f t="shared" si="19"/>
        <v>47177</v>
      </c>
      <c r="D149" s="173"/>
      <c r="E149" s="174">
        <f t="shared" si="21"/>
        <v>50000</v>
      </c>
      <c r="F149" s="174">
        <f t="shared" si="18"/>
        <v>4669583.3</v>
      </c>
      <c r="G149" s="175">
        <f t="shared" ref="G149:G212" si="24">ROUND((B149-B148)*$E$8*F149/360,2)</f>
        <v>29675.200000000001</v>
      </c>
      <c r="H149" s="175"/>
      <c r="I149" s="195">
        <f t="shared" ref="I149:I212" si="25">E149+G149</f>
        <v>79675.199999999997</v>
      </c>
      <c r="J149" s="149"/>
      <c r="K149" s="152">
        <f t="shared" si="20"/>
        <v>17705.599999999999</v>
      </c>
      <c r="L149" s="185"/>
      <c r="M149" s="185"/>
      <c r="N149" s="152"/>
      <c r="O149" s="152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</row>
    <row r="150" spans="1:30" s="176" customFormat="1">
      <c r="A150" s="176">
        <f t="shared" si="22"/>
        <v>80</v>
      </c>
      <c r="B150" s="173">
        <f t="shared" si="23"/>
        <v>47177</v>
      </c>
      <c r="C150" s="173">
        <f t="shared" si="19"/>
        <v>47208</v>
      </c>
      <c r="D150" s="173"/>
      <c r="E150" s="174">
        <f t="shared" si="21"/>
        <v>50000</v>
      </c>
      <c r="F150" s="174">
        <f t="shared" si="18"/>
        <v>4619583.3</v>
      </c>
      <c r="G150" s="175">
        <f t="shared" si="24"/>
        <v>26516.41</v>
      </c>
      <c r="H150" s="175"/>
      <c r="I150" s="195">
        <f t="shared" si="25"/>
        <v>76516.41</v>
      </c>
      <c r="J150" s="149"/>
      <c r="K150" s="152">
        <f t="shared" si="20"/>
        <v>17003.646666666667</v>
      </c>
      <c r="L150" s="185"/>
      <c r="M150" s="185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</row>
    <row r="151" spans="1:30" s="176" customFormat="1">
      <c r="A151" s="176">
        <f t="shared" si="22"/>
        <v>81</v>
      </c>
      <c r="B151" s="173">
        <f t="shared" si="23"/>
        <v>47208</v>
      </c>
      <c r="C151" s="173">
        <f t="shared" si="19"/>
        <v>47238</v>
      </c>
      <c r="D151" s="173"/>
      <c r="E151" s="174">
        <f t="shared" si="21"/>
        <v>50000</v>
      </c>
      <c r="F151" s="174">
        <f t="shared" si="18"/>
        <v>4569583.3</v>
      </c>
      <c r="G151" s="175">
        <f t="shared" si="24"/>
        <v>29039.7</v>
      </c>
      <c r="H151" s="175"/>
      <c r="I151" s="195">
        <f t="shared" si="25"/>
        <v>79039.7</v>
      </c>
      <c r="J151" s="149"/>
      <c r="K151" s="152">
        <f t="shared" si="20"/>
        <v>17564.377777777776</v>
      </c>
      <c r="L151" s="185"/>
      <c r="M151" s="185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</row>
    <row r="152" spans="1:30" s="176" customFormat="1">
      <c r="A152" s="176">
        <f t="shared" si="22"/>
        <v>82</v>
      </c>
      <c r="B152" s="173">
        <f t="shared" si="23"/>
        <v>47238</v>
      </c>
      <c r="C152" s="173">
        <f t="shared" si="19"/>
        <v>47269</v>
      </c>
      <c r="D152" s="173"/>
      <c r="E152" s="174">
        <f t="shared" si="21"/>
        <v>50000</v>
      </c>
      <c r="F152" s="174">
        <f t="shared" ref="F152:F214" si="26">F151-E151+D151</f>
        <v>4519583.3</v>
      </c>
      <c r="G152" s="175">
        <f t="shared" si="24"/>
        <v>27795.439999999999</v>
      </c>
      <c r="H152" s="175"/>
      <c r="I152" s="195">
        <f t="shared" si="25"/>
        <v>77795.44</v>
      </c>
      <c r="J152" s="149"/>
      <c r="K152" s="152">
        <f t="shared" si="20"/>
        <v>17287.875555555554</v>
      </c>
      <c r="L152" s="185"/>
      <c r="M152" s="185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</row>
    <row r="153" spans="1:30" s="176" customFormat="1">
      <c r="A153" s="176">
        <f t="shared" si="22"/>
        <v>83</v>
      </c>
      <c r="B153" s="173">
        <f t="shared" si="23"/>
        <v>47269</v>
      </c>
      <c r="C153" s="173">
        <f t="shared" si="19"/>
        <v>47299</v>
      </c>
      <c r="D153" s="173"/>
      <c r="E153" s="174">
        <f t="shared" si="21"/>
        <v>50000</v>
      </c>
      <c r="F153" s="174">
        <f t="shared" si="26"/>
        <v>4469583.3</v>
      </c>
      <c r="G153" s="175">
        <f t="shared" si="24"/>
        <v>28404.2</v>
      </c>
      <c r="H153" s="175"/>
      <c r="I153" s="195">
        <f t="shared" si="25"/>
        <v>78404.2</v>
      </c>
      <c r="J153" s="149"/>
      <c r="K153" s="152">
        <f t="shared" si="20"/>
        <v>17423.155555555553</v>
      </c>
      <c r="L153" s="185"/>
      <c r="M153" s="185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</row>
    <row r="154" spans="1:30" s="176" customFormat="1">
      <c r="A154" s="176">
        <f t="shared" si="22"/>
        <v>84</v>
      </c>
      <c r="B154" s="173">
        <f t="shared" si="23"/>
        <v>47299</v>
      </c>
      <c r="C154" s="173">
        <f t="shared" si="19"/>
        <v>47330</v>
      </c>
      <c r="D154" s="173"/>
      <c r="E154" s="174">
        <f t="shared" si="21"/>
        <v>50000</v>
      </c>
      <c r="F154" s="174">
        <f t="shared" si="26"/>
        <v>4419583.3</v>
      </c>
      <c r="G154" s="175">
        <f t="shared" si="24"/>
        <v>27180.44</v>
      </c>
      <c r="H154" s="175"/>
      <c r="I154" s="195">
        <f t="shared" si="25"/>
        <v>77180.44</v>
      </c>
      <c r="J154" s="149"/>
      <c r="K154" s="152">
        <f t="shared" si="20"/>
        <v>17151.20888888889</v>
      </c>
      <c r="L154" s="185"/>
      <c r="M154" s="185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</row>
    <row r="155" spans="1:30" s="176" customFormat="1">
      <c r="A155" s="176">
        <f t="shared" si="22"/>
        <v>85</v>
      </c>
      <c r="B155" s="173">
        <f t="shared" si="23"/>
        <v>47330</v>
      </c>
      <c r="C155" s="173">
        <f t="shared" si="19"/>
        <v>47361</v>
      </c>
      <c r="D155" s="173"/>
      <c r="E155" s="174">
        <f t="shared" si="21"/>
        <v>50000</v>
      </c>
      <c r="F155" s="174">
        <f t="shared" si="26"/>
        <v>4369583.3</v>
      </c>
      <c r="G155" s="175">
        <f t="shared" si="24"/>
        <v>27768.7</v>
      </c>
      <c r="H155" s="175"/>
      <c r="I155" s="195">
        <f t="shared" si="25"/>
        <v>77768.7</v>
      </c>
      <c r="J155" s="149"/>
      <c r="K155" s="152">
        <f t="shared" si="20"/>
        <v>17281.933333333334</v>
      </c>
      <c r="L155" s="185"/>
      <c r="M155" s="185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</row>
    <row r="156" spans="1:30" s="176" customFormat="1">
      <c r="A156" s="176">
        <f t="shared" si="22"/>
        <v>86</v>
      </c>
      <c r="B156" s="173">
        <f t="shared" si="23"/>
        <v>47361</v>
      </c>
      <c r="C156" s="173">
        <f t="shared" si="19"/>
        <v>47391</v>
      </c>
      <c r="D156" s="173"/>
      <c r="E156" s="174">
        <f t="shared" si="21"/>
        <v>50000</v>
      </c>
      <c r="F156" s="174">
        <f t="shared" si="26"/>
        <v>4319583.3</v>
      </c>
      <c r="G156" s="175">
        <f t="shared" si="24"/>
        <v>27450.95</v>
      </c>
      <c r="H156" s="175"/>
      <c r="I156" s="195">
        <f t="shared" si="25"/>
        <v>77450.95</v>
      </c>
      <c r="J156" s="149"/>
      <c r="K156" s="152">
        <f t="shared" si="20"/>
        <v>17211.322222222221</v>
      </c>
      <c r="L156" s="185"/>
      <c r="M156" s="185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</row>
    <row r="157" spans="1:30" s="176" customFormat="1">
      <c r="A157" s="176">
        <f t="shared" si="22"/>
        <v>87</v>
      </c>
      <c r="B157" s="173">
        <f t="shared" si="23"/>
        <v>47391</v>
      </c>
      <c r="C157" s="173">
        <f t="shared" si="19"/>
        <v>47422</v>
      </c>
      <c r="D157" s="173"/>
      <c r="E157" s="174">
        <f t="shared" si="21"/>
        <v>50000</v>
      </c>
      <c r="F157" s="174">
        <f t="shared" si="26"/>
        <v>4269583.3</v>
      </c>
      <c r="G157" s="175">
        <f t="shared" si="24"/>
        <v>26257.94</v>
      </c>
      <c r="H157" s="175"/>
      <c r="I157" s="195">
        <f t="shared" si="25"/>
        <v>76257.94</v>
      </c>
      <c r="J157" s="149"/>
      <c r="K157" s="152">
        <f t="shared" si="20"/>
        <v>16946.20888888889</v>
      </c>
      <c r="L157" s="185"/>
      <c r="M157" s="185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</row>
    <row r="158" spans="1:30" s="176" customFormat="1">
      <c r="A158" s="176">
        <f t="shared" si="22"/>
        <v>88</v>
      </c>
      <c r="B158" s="173">
        <f t="shared" si="23"/>
        <v>47422</v>
      </c>
      <c r="C158" s="173">
        <f t="shared" si="19"/>
        <v>47452</v>
      </c>
      <c r="D158" s="173"/>
      <c r="E158" s="174">
        <f t="shared" si="21"/>
        <v>50000</v>
      </c>
      <c r="F158" s="174">
        <f t="shared" si="26"/>
        <v>4219583.3</v>
      </c>
      <c r="G158" s="175">
        <f t="shared" si="24"/>
        <v>26815.45</v>
      </c>
      <c r="H158" s="175"/>
      <c r="I158" s="195">
        <f t="shared" si="25"/>
        <v>76815.45</v>
      </c>
      <c r="J158" s="149"/>
      <c r="K158" s="152">
        <f t="shared" si="20"/>
        <v>17070.099999999999</v>
      </c>
      <c r="L158" s="185"/>
      <c r="M158" s="185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</row>
    <row r="159" spans="1:30" s="176" customFormat="1">
      <c r="A159" s="176">
        <f t="shared" si="22"/>
        <v>89</v>
      </c>
      <c r="B159" s="173">
        <f t="shared" si="23"/>
        <v>47452</v>
      </c>
      <c r="C159" s="173">
        <f t="shared" si="19"/>
        <v>47483</v>
      </c>
      <c r="D159" s="173"/>
      <c r="E159" s="174">
        <f t="shared" si="21"/>
        <v>50000</v>
      </c>
      <c r="F159" s="174">
        <f t="shared" si="26"/>
        <v>4169583.3</v>
      </c>
      <c r="G159" s="175">
        <f t="shared" si="24"/>
        <v>25642.94</v>
      </c>
      <c r="H159" s="175"/>
      <c r="I159" s="195">
        <f t="shared" si="25"/>
        <v>75642.94</v>
      </c>
      <c r="J159" s="149"/>
      <c r="K159" s="152">
        <f t="shared" si="20"/>
        <v>16809.542222222222</v>
      </c>
      <c r="L159" s="185"/>
      <c r="M159" s="185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</row>
    <row r="160" spans="1:30" s="171" customFormat="1">
      <c r="A160" s="176">
        <f t="shared" si="22"/>
        <v>90</v>
      </c>
      <c r="B160" s="168">
        <f t="shared" si="23"/>
        <v>47483</v>
      </c>
      <c r="C160" s="168">
        <f t="shared" ref="C160:C161" si="27">B161</f>
        <v>47514</v>
      </c>
      <c r="D160" s="168"/>
      <c r="E160" s="169">
        <f t="shared" si="21"/>
        <v>50000</v>
      </c>
      <c r="F160" s="169">
        <f t="shared" si="26"/>
        <v>4119583.3</v>
      </c>
      <c r="G160" s="170">
        <f t="shared" si="24"/>
        <v>26179.95</v>
      </c>
      <c r="H160" s="170"/>
      <c r="I160" s="194">
        <f t="shared" si="25"/>
        <v>76179.95</v>
      </c>
      <c r="K160" s="172">
        <f t="shared" ref="K160:K215" si="28">I160/4.5</f>
        <v>16928.877777777776</v>
      </c>
      <c r="L160" s="172">
        <f>SUM(E149:E160)</f>
        <v>600000</v>
      </c>
      <c r="M160" s="172">
        <f>SUM(G149:G160)</f>
        <v>328727.32000000007</v>
      </c>
    </row>
    <row r="161" spans="1:30" s="176" customFormat="1">
      <c r="A161" s="176">
        <f t="shared" si="22"/>
        <v>91</v>
      </c>
      <c r="B161" s="173">
        <f t="shared" si="23"/>
        <v>47514</v>
      </c>
      <c r="C161" s="173">
        <f t="shared" si="27"/>
        <v>47542</v>
      </c>
      <c r="D161" s="173"/>
      <c r="E161" s="174">
        <f t="shared" si="21"/>
        <v>50000</v>
      </c>
      <c r="F161" s="174">
        <f t="shared" si="26"/>
        <v>4069583.3</v>
      </c>
      <c r="G161" s="175">
        <f t="shared" si="24"/>
        <v>25862.2</v>
      </c>
      <c r="H161" s="175"/>
      <c r="I161" s="195">
        <f t="shared" si="25"/>
        <v>75862.2</v>
      </c>
      <c r="J161" s="149"/>
      <c r="K161" s="152">
        <f t="shared" si="28"/>
        <v>16858.266666666666</v>
      </c>
      <c r="L161" s="185"/>
      <c r="M161" s="185"/>
      <c r="N161" s="152"/>
      <c r="O161" s="152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</row>
    <row r="162" spans="1:30" s="176" customFormat="1">
      <c r="A162" s="176">
        <f t="shared" si="22"/>
        <v>92</v>
      </c>
      <c r="B162" s="173">
        <f t="shared" si="23"/>
        <v>47542</v>
      </c>
      <c r="C162" s="173" t="e">
        <f>#REF!</f>
        <v>#REF!</v>
      </c>
      <c r="D162" s="173"/>
      <c r="E162" s="174">
        <f t="shared" si="21"/>
        <v>50000</v>
      </c>
      <c r="F162" s="174">
        <f t="shared" si="26"/>
        <v>4019583.3</v>
      </c>
      <c r="G162" s="175">
        <f t="shared" si="24"/>
        <v>23072.41</v>
      </c>
      <c r="H162" s="175"/>
      <c r="I162" s="195">
        <f t="shared" si="25"/>
        <v>73072.41</v>
      </c>
      <c r="J162" s="149"/>
      <c r="K162" s="152">
        <f t="shared" si="28"/>
        <v>16238.313333333334</v>
      </c>
      <c r="L162" s="185"/>
      <c r="M162" s="185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</row>
    <row r="163" spans="1:30" s="176" customFormat="1">
      <c r="A163" s="176">
        <f t="shared" si="22"/>
        <v>93</v>
      </c>
      <c r="B163" s="173">
        <f t="shared" si="23"/>
        <v>47573</v>
      </c>
      <c r="C163" s="173" t="e">
        <f>#REF!</f>
        <v>#REF!</v>
      </c>
      <c r="D163" s="173"/>
      <c r="E163" s="174">
        <f t="shared" si="21"/>
        <v>50000</v>
      </c>
      <c r="F163" s="174">
        <f t="shared" si="26"/>
        <v>3969583.3</v>
      </c>
      <c r="G163" s="175">
        <f t="shared" si="24"/>
        <v>25226.7</v>
      </c>
      <c r="H163" s="175"/>
      <c r="I163" s="195">
        <f t="shared" si="25"/>
        <v>75226.7</v>
      </c>
      <c r="J163" s="149"/>
      <c r="K163" s="152"/>
      <c r="L163" s="185"/>
      <c r="M163" s="185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</row>
    <row r="164" spans="1:30" s="176" customFormat="1">
      <c r="A164" s="176">
        <f t="shared" si="22"/>
        <v>94</v>
      </c>
      <c r="B164" s="173">
        <f t="shared" si="23"/>
        <v>47603</v>
      </c>
      <c r="C164" s="173" t="e">
        <f>#REF!</f>
        <v>#REF!</v>
      </c>
      <c r="D164" s="173"/>
      <c r="E164" s="174">
        <f t="shared" si="21"/>
        <v>50000</v>
      </c>
      <c r="F164" s="174">
        <f t="shared" si="26"/>
        <v>3919583.3</v>
      </c>
      <c r="G164" s="175">
        <f t="shared" si="24"/>
        <v>24105.439999999999</v>
      </c>
      <c r="H164" s="175"/>
      <c r="I164" s="195">
        <f t="shared" si="25"/>
        <v>74105.440000000002</v>
      </c>
      <c r="J164" s="149"/>
      <c r="K164" s="152"/>
      <c r="L164" s="185"/>
      <c r="M164" s="185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</row>
    <row r="165" spans="1:30" s="176" customFormat="1">
      <c r="A165" s="176">
        <f t="shared" si="22"/>
        <v>95</v>
      </c>
      <c r="B165" s="173">
        <f t="shared" si="23"/>
        <v>47634</v>
      </c>
      <c r="C165" s="173" t="e">
        <f>#REF!</f>
        <v>#REF!</v>
      </c>
      <c r="D165" s="173"/>
      <c r="E165" s="174">
        <f t="shared" si="21"/>
        <v>50000</v>
      </c>
      <c r="F165" s="174">
        <f t="shared" si="26"/>
        <v>3869583.3</v>
      </c>
      <c r="G165" s="175">
        <f t="shared" si="24"/>
        <v>24591.200000000001</v>
      </c>
      <c r="H165" s="175"/>
      <c r="I165" s="195">
        <f t="shared" si="25"/>
        <v>74591.199999999997</v>
      </c>
      <c r="J165" s="149"/>
      <c r="K165" s="152"/>
      <c r="L165" s="185"/>
      <c r="M165" s="185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</row>
    <row r="166" spans="1:30" s="176" customFormat="1">
      <c r="A166" s="176">
        <f t="shared" si="22"/>
        <v>96</v>
      </c>
      <c r="B166" s="173">
        <f t="shared" si="23"/>
        <v>47664</v>
      </c>
      <c r="C166" s="173" t="e">
        <f>#REF!</f>
        <v>#REF!</v>
      </c>
      <c r="D166" s="173"/>
      <c r="E166" s="174">
        <f t="shared" ref="E166:E213" si="29">E165</f>
        <v>50000</v>
      </c>
      <c r="F166" s="174">
        <f t="shared" si="26"/>
        <v>3819583.3</v>
      </c>
      <c r="G166" s="175">
        <f t="shared" si="24"/>
        <v>23490.44</v>
      </c>
      <c r="H166" s="175"/>
      <c r="I166" s="195">
        <f t="shared" si="25"/>
        <v>73490.44</v>
      </c>
      <c r="J166" s="149"/>
      <c r="K166" s="152"/>
      <c r="L166" s="185"/>
      <c r="M166" s="185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</row>
    <row r="167" spans="1:30" s="176" customFormat="1">
      <c r="A167" s="176">
        <f t="shared" si="22"/>
        <v>97</v>
      </c>
      <c r="B167" s="173">
        <f t="shared" si="23"/>
        <v>47695</v>
      </c>
      <c r="C167" s="173" t="e">
        <f>#REF!</f>
        <v>#REF!</v>
      </c>
      <c r="D167" s="173"/>
      <c r="E167" s="174">
        <f t="shared" si="29"/>
        <v>50000</v>
      </c>
      <c r="F167" s="174">
        <f t="shared" si="26"/>
        <v>3769583.3</v>
      </c>
      <c r="G167" s="175">
        <f t="shared" si="24"/>
        <v>23955.7</v>
      </c>
      <c r="H167" s="175"/>
      <c r="I167" s="195">
        <f t="shared" si="25"/>
        <v>73955.7</v>
      </c>
      <c r="J167" s="149"/>
      <c r="K167" s="152"/>
      <c r="L167" s="185"/>
      <c r="M167" s="185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</row>
    <row r="168" spans="1:30" s="176" customFormat="1">
      <c r="A168" s="176">
        <f t="shared" si="22"/>
        <v>98</v>
      </c>
      <c r="B168" s="173">
        <f t="shared" si="23"/>
        <v>47726</v>
      </c>
      <c r="C168" s="173" t="e">
        <f>#REF!</f>
        <v>#REF!</v>
      </c>
      <c r="D168" s="173"/>
      <c r="E168" s="174">
        <f t="shared" si="29"/>
        <v>50000</v>
      </c>
      <c r="F168" s="174">
        <f t="shared" si="26"/>
        <v>3719583.3</v>
      </c>
      <c r="G168" s="175">
        <f t="shared" si="24"/>
        <v>23637.95</v>
      </c>
      <c r="H168" s="175"/>
      <c r="I168" s="195">
        <f t="shared" si="25"/>
        <v>73637.95</v>
      </c>
      <c r="J168" s="149"/>
      <c r="K168" s="152"/>
      <c r="L168" s="185"/>
      <c r="M168" s="185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</row>
    <row r="169" spans="1:30" s="176" customFormat="1">
      <c r="A169" s="176">
        <f t="shared" si="22"/>
        <v>99</v>
      </c>
      <c r="B169" s="173">
        <f t="shared" si="23"/>
        <v>47756</v>
      </c>
      <c r="C169" s="173" t="e">
        <f>#REF!</f>
        <v>#REF!</v>
      </c>
      <c r="D169" s="173"/>
      <c r="E169" s="174">
        <f t="shared" si="29"/>
        <v>50000</v>
      </c>
      <c r="F169" s="174">
        <f t="shared" si="26"/>
        <v>3669583.3</v>
      </c>
      <c r="G169" s="175">
        <f t="shared" si="24"/>
        <v>22567.94</v>
      </c>
      <c r="H169" s="175"/>
      <c r="I169" s="195">
        <f t="shared" si="25"/>
        <v>72567.94</v>
      </c>
      <c r="J169" s="149"/>
      <c r="K169" s="152"/>
      <c r="L169" s="185"/>
      <c r="M169" s="185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</row>
    <row r="170" spans="1:30" s="176" customFormat="1">
      <c r="A170" s="176">
        <f t="shared" si="22"/>
        <v>100</v>
      </c>
      <c r="B170" s="173">
        <f t="shared" si="23"/>
        <v>47787</v>
      </c>
      <c r="C170" s="173" t="e">
        <f>#REF!</f>
        <v>#REF!</v>
      </c>
      <c r="D170" s="173"/>
      <c r="E170" s="174">
        <f t="shared" si="29"/>
        <v>50000</v>
      </c>
      <c r="F170" s="174">
        <f t="shared" si="26"/>
        <v>3619583.3</v>
      </c>
      <c r="G170" s="175">
        <f t="shared" si="24"/>
        <v>23002.45</v>
      </c>
      <c r="H170" s="175"/>
      <c r="I170" s="195">
        <f t="shared" si="25"/>
        <v>73002.45</v>
      </c>
      <c r="J170" s="149"/>
      <c r="K170" s="152"/>
      <c r="L170" s="185"/>
      <c r="M170" s="185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</row>
    <row r="171" spans="1:30" s="176" customFormat="1">
      <c r="A171" s="176">
        <f t="shared" si="22"/>
        <v>101</v>
      </c>
      <c r="B171" s="173">
        <f t="shared" si="23"/>
        <v>47817</v>
      </c>
      <c r="C171" s="173" t="e">
        <f>#REF!</f>
        <v>#REF!</v>
      </c>
      <c r="D171" s="173"/>
      <c r="E171" s="174">
        <f t="shared" si="29"/>
        <v>50000</v>
      </c>
      <c r="F171" s="174">
        <f t="shared" si="26"/>
        <v>3569583.3</v>
      </c>
      <c r="G171" s="175">
        <f t="shared" si="24"/>
        <v>21952.94</v>
      </c>
      <c r="H171" s="175"/>
      <c r="I171" s="195">
        <f t="shared" si="25"/>
        <v>71952.94</v>
      </c>
      <c r="J171" s="149"/>
      <c r="K171" s="152"/>
      <c r="L171" s="185"/>
      <c r="M171" s="185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</row>
    <row r="172" spans="1:30" s="171" customFormat="1">
      <c r="A172" s="171">
        <f t="shared" si="22"/>
        <v>102</v>
      </c>
      <c r="B172" s="168">
        <f t="shared" si="23"/>
        <v>47848</v>
      </c>
      <c r="C172" s="168" t="e">
        <f>#REF!</f>
        <v>#REF!</v>
      </c>
      <c r="D172" s="168"/>
      <c r="E172" s="169">
        <f t="shared" si="29"/>
        <v>50000</v>
      </c>
      <c r="F172" s="169">
        <f t="shared" si="26"/>
        <v>3519583.3</v>
      </c>
      <c r="G172" s="170">
        <f t="shared" si="24"/>
        <v>22366.95</v>
      </c>
      <c r="H172" s="170"/>
      <c r="I172" s="194">
        <f t="shared" si="25"/>
        <v>72366.95</v>
      </c>
      <c r="K172" s="172"/>
      <c r="L172" s="172">
        <f>SUM(E161:E172)</f>
        <v>600000</v>
      </c>
      <c r="M172" s="172">
        <f>SUM(G161:G172)</f>
        <v>283832.32000000001</v>
      </c>
    </row>
    <row r="173" spans="1:30" s="176" customFormat="1">
      <c r="A173" s="176">
        <f t="shared" si="22"/>
        <v>103</v>
      </c>
      <c r="B173" s="173">
        <f t="shared" si="23"/>
        <v>47879</v>
      </c>
      <c r="C173" s="173" t="e">
        <f>#REF!</f>
        <v>#REF!</v>
      </c>
      <c r="D173" s="173"/>
      <c r="E173" s="174">
        <v>80000</v>
      </c>
      <c r="F173" s="174">
        <f t="shared" si="26"/>
        <v>3469583.3</v>
      </c>
      <c r="G173" s="175">
        <f t="shared" si="24"/>
        <v>22049.200000000001</v>
      </c>
      <c r="H173" s="175"/>
      <c r="I173" s="195">
        <f t="shared" si="25"/>
        <v>102049.2</v>
      </c>
      <c r="J173" s="149"/>
      <c r="K173" s="152"/>
      <c r="L173" s="185"/>
      <c r="M173" s="185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</row>
    <row r="174" spans="1:30" s="176" customFormat="1">
      <c r="A174" s="176">
        <f t="shared" si="22"/>
        <v>104</v>
      </c>
      <c r="B174" s="173">
        <f t="shared" si="23"/>
        <v>47907</v>
      </c>
      <c r="C174" s="173" t="e">
        <f>#REF!</f>
        <v>#REF!</v>
      </c>
      <c r="D174" s="173"/>
      <c r="E174" s="174">
        <f t="shared" si="29"/>
        <v>80000</v>
      </c>
      <c r="F174" s="174">
        <f t="shared" si="26"/>
        <v>3389583.3</v>
      </c>
      <c r="G174" s="175">
        <f t="shared" si="24"/>
        <v>19456.21</v>
      </c>
      <c r="H174" s="175"/>
      <c r="I174" s="195">
        <f t="shared" si="25"/>
        <v>99456.209999999992</v>
      </c>
      <c r="J174" s="149"/>
      <c r="K174" s="152"/>
      <c r="L174" s="185"/>
      <c r="M174" s="185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</row>
    <row r="175" spans="1:30" s="176" customFormat="1">
      <c r="A175" s="176">
        <f t="shared" si="22"/>
        <v>105</v>
      </c>
      <c r="B175" s="173">
        <f t="shared" si="23"/>
        <v>47938</v>
      </c>
      <c r="C175" s="173" t="e">
        <f>#REF!</f>
        <v>#REF!</v>
      </c>
      <c r="D175" s="173"/>
      <c r="E175" s="174">
        <f t="shared" si="29"/>
        <v>80000</v>
      </c>
      <c r="F175" s="174">
        <f t="shared" si="26"/>
        <v>3309583.3</v>
      </c>
      <c r="G175" s="175">
        <f t="shared" si="24"/>
        <v>21032.400000000001</v>
      </c>
      <c r="H175" s="175"/>
      <c r="I175" s="195">
        <f t="shared" si="25"/>
        <v>101032.4</v>
      </c>
      <c r="J175" s="149"/>
      <c r="K175" s="152"/>
      <c r="L175" s="185"/>
      <c r="M175" s="185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</row>
    <row r="176" spans="1:30" s="176" customFormat="1">
      <c r="A176" s="176">
        <f t="shared" si="22"/>
        <v>106</v>
      </c>
      <c r="B176" s="173">
        <f t="shared" si="23"/>
        <v>47968</v>
      </c>
      <c r="C176" s="173" t="e">
        <f>#REF!</f>
        <v>#REF!</v>
      </c>
      <c r="D176" s="173"/>
      <c r="E176" s="174">
        <f t="shared" si="29"/>
        <v>80000</v>
      </c>
      <c r="F176" s="174">
        <f t="shared" si="26"/>
        <v>3229583.3</v>
      </c>
      <c r="G176" s="175">
        <f t="shared" si="24"/>
        <v>19861.939999999999</v>
      </c>
      <c r="H176" s="175"/>
      <c r="I176" s="195">
        <f t="shared" si="25"/>
        <v>99861.94</v>
      </c>
      <c r="J176" s="149"/>
      <c r="K176" s="152"/>
      <c r="L176" s="185"/>
      <c r="M176" s="185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</row>
    <row r="177" spans="1:30" s="176" customFormat="1">
      <c r="A177" s="176">
        <f t="shared" si="22"/>
        <v>107</v>
      </c>
      <c r="B177" s="173">
        <f t="shared" si="23"/>
        <v>47999</v>
      </c>
      <c r="C177" s="173" t="e">
        <f>#REF!</f>
        <v>#REF!</v>
      </c>
      <c r="D177" s="173"/>
      <c r="E177" s="174">
        <f t="shared" si="29"/>
        <v>80000</v>
      </c>
      <c r="F177" s="174">
        <f t="shared" si="26"/>
        <v>3149583.3</v>
      </c>
      <c r="G177" s="175">
        <f t="shared" si="24"/>
        <v>20015.599999999999</v>
      </c>
      <c r="H177" s="175"/>
      <c r="I177" s="195">
        <f t="shared" si="25"/>
        <v>100015.6</v>
      </c>
      <c r="J177" s="149"/>
      <c r="K177" s="152"/>
      <c r="L177" s="185"/>
      <c r="M177" s="185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</row>
    <row r="178" spans="1:30" s="176" customFormat="1">
      <c r="A178" s="176">
        <f t="shared" ref="A178:A214" si="30">A177+1</f>
        <v>108</v>
      </c>
      <c r="B178" s="173">
        <f t="shared" si="23"/>
        <v>48029</v>
      </c>
      <c r="C178" s="173" t="e">
        <f>#REF!</f>
        <v>#REF!</v>
      </c>
      <c r="D178" s="173"/>
      <c r="E178" s="174">
        <f t="shared" si="29"/>
        <v>80000</v>
      </c>
      <c r="F178" s="174">
        <f t="shared" si="26"/>
        <v>3069583.3</v>
      </c>
      <c r="G178" s="175">
        <f t="shared" si="24"/>
        <v>18877.939999999999</v>
      </c>
      <c r="H178" s="175"/>
      <c r="I178" s="195">
        <f t="shared" si="25"/>
        <v>98877.94</v>
      </c>
      <c r="J178" s="149"/>
      <c r="K178" s="152"/>
      <c r="L178" s="185"/>
      <c r="M178" s="185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</row>
    <row r="179" spans="1:30" s="176" customFormat="1">
      <c r="A179" s="176">
        <f t="shared" si="30"/>
        <v>109</v>
      </c>
      <c r="B179" s="173">
        <f t="shared" si="23"/>
        <v>48060</v>
      </c>
      <c r="C179" s="173" t="e">
        <f>#REF!</f>
        <v>#REF!</v>
      </c>
      <c r="D179" s="173"/>
      <c r="E179" s="174">
        <f t="shared" si="29"/>
        <v>80000</v>
      </c>
      <c r="F179" s="174">
        <f t="shared" si="26"/>
        <v>2989583.3</v>
      </c>
      <c r="G179" s="175">
        <f t="shared" si="24"/>
        <v>18998.8</v>
      </c>
      <c r="H179" s="175"/>
      <c r="I179" s="195">
        <f t="shared" si="25"/>
        <v>98998.8</v>
      </c>
      <c r="J179" s="149"/>
      <c r="K179" s="152"/>
      <c r="L179" s="185"/>
      <c r="M179" s="185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</row>
    <row r="180" spans="1:30" s="176" customFormat="1">
      <c r="A180" s="176">
        <f t="shared" si="30"/>
        <v>110</v>
      </c>
      <c r="B180" s="173">
        <f t="shared" si="23"/>
        <v>48091</v>
      </c>
      <c r="C180" s="173" t="e">
        <f>#REF!</f>
        <v>#REF!</v>
      </c>
      <c r="D180" s="173"/>
      <c r="E180" s="174">
        <f t="shared" si="29"/>
        <v>80000</v>
      </c>
      <c r="F180" s="174">
        <f t="shared" si="26"/>
        <v>2909583.3</v>
      </c>
      <c r="G180" s="175">
        <f t="shared" si="24"/>
        <v>18490.400000000001</v>
      </c>
      <c r="H180" s="175"/>
      <c r="I180" s="195">
        <f t="shared" si="25"/>
        <v>98490.4</v>
      </c>
      <c r="J180" s="149"/>
      <c r="K180" s="152"/>
      <c r="L180" s="185"/>
      <c r="M180" s="185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</row>
    <row r="181" spans="1:30" s="176" customFormat="1">
      <c r="A181" s="176">
        <f t="shared" si="30"/>
        <v>111</v>
      </c>
      <c r="B181" s="173">
        <f t="shared" si="23"/>
        <v>48121</v>
      </c>
      <c r="C181" s="173" t="e">
        <f>#REF!</f>
        <v>#REF!</v>
      </c>
      <c r="D181" s="173"/>
      <c r="E181" s="174">
        <f t="shared" si="29"/>
        <v>80000</v>
      </c>
      <c r="F181" s="174">
        <f t="shared" si="26"/>
        <v>2829583.3</v>
      </c>
      <c r="G181" s="175">
        <f t="shared" si="24"/>
        <v>17401.939999999999</v>
      </c>
      <c r="H181" s="175"/>
      <c r="I181" s="195">
        <f t="shared" si="25"/>
        <v>97401.94</v>
      </c>
      <c r="J181" s="149"/>
      <c r="K181" s="152"/>
      <c r="L181" s="185"/>
      <c r="M181" s="185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</row>
    <row r="182" spans="1:30" s="176" customFormat="1">
      <c r="A182" s="176">
        <f t="shared" si="30"/>
        <v>112</v>
      </c>
      <c r="B182" s="173">
        <f t="shared" si="23"/>
        <v>48152</v>
      </c>
      <c r="C182" s="173" t="e">
        <f>#REF!</f>
        <v>#REF!</v>
      </c>
      <c r="D182" s="173"/>
      <c r="E182" s="174">
        <f t="shared" si="29"/>
        <v>80000</v>
      </c>
      <c r="F182" s="174">
        <f t="shared" si="26"/>
        <v>2749583.3</v>
      </c>
      <c r="G182" s="175">
        <f t="shared" si="24"/>
        <v>17473.599999999999</v>
      </c>
      <c r="H182" s="175"/>
      <c r="I182" s="195">
        <f t="shared" si="25"/>
        <v>97473.600000000006</v>
      </c>
      <c r="J182" s="149"/>
      <c r="K182" s="152"/>
      <c r="L182" s="185"/>
      <c r="M182" s="185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</row>
    <row r="183" spans="1:30" s="176" customFormat="1">
      <c r="A183" s="176">
        <f t="shared" si="30"/>
        <v>113</v>
      </c>
      <c r="B183" s="173">
        <f t="shared" si="23"/>
        <v>48182</v>
      </c>
      <c r="C183" s="173" t="e">
        <f>#REF!</f>
        <v>#REF!</v>
      </c>
      <c r="D183" s="173"/>
      <c r="E183" s="174">
        <f t="shared" si="29"/>
        <v>80000</v>
      </c>
      <c r="F183" s="174">
        <f t="shared" si="26"/>
        <v>2669583.2999999998</v>
      </c>
      <c r="G183" s="175">
        <f t="shared" si="24"/>
        <v>16417.939999999999</v>
      </c>
      <c r="H183" s="175"/>
      <c r="I183" s="195">
        <f t="shared" si="25"/>
        <v>96417.94</v>
      </c>
      <c r="J183" s="149"/>
      <c r="K183" s="152"/>
      <c r="L183" s="185"/>
      <c r="M183" s="185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</row>
    <row r="184" spans="1:30" s="171" customFormat="1">
      <c r="A184" s="171">
        <f t="shared" si="30"/>
        <v>114</v>
      </c>
      <c r="B184" s="168">
        <f t="shared" si="23"/>
        <v>48213</v>
      </c>
      <c r="C184" s="168" t="e">
        <f>#REF!</f>
        <v>#REF!</v>
      </c>
      <c r="D184" s="168"/>
      <c r="E184" s="169">
        <f t="shared" si="29"/>
        <v>80000</v>
      </c>
      <c r="F184" s="169">
        <f t="shared" si="26"/>
        <v>2589583.2999999998</v>
      </c>
      <c r="G184" s="170">
        <f t="shared" si="24"/>
        <v>16456.8</v>
      </c>
      <c r="H184" s="170"/>
      <c r="I184" s="194">
        <f t="shared" si="25"/>
        <v>96456.8</v>
      </c>
      <c r="K184" s="172"/>
      <c r="L184" s="172">
        <f>SUM(E173:E184)</f>
        <v>960000</v>
      </c>
      <c r="M184" s="172">
        <f>SUM(G173:G184)</f>
        <v>226532.77</v>
      </c>
    </row>
    <row r="185" spans="1:30" s="176" customFormat="1">
      <c r="A185" s="176">
        <f t="shared" si="30"/>
        <v>115</v>
      </c>
      <c r="B185" s="173">
        <f t="shared" si="23"/>
        <v>48244</v>
      </c>
      <c r="C185" s="173" t="e">
        <f>#REF!</f>
        <v>#REF!</v>
      </c>
      <c r="D185" s="173"/>
      <c r="E185" s="174">
        <f t="shared" si="29"/>
        <v>80000</v>
      </c>
      <c r="F185" s="174">
        <f t="shared" si="26"/>
        <v>2509583.2999999998</v>
      </c>
      <c r="G185" s="175">
        <f t="shared" si="24"/>
        <v>15948.4</v>
      </c>
      <c r="H185" s="175"/>
      <c r="I185" s="195">
        <f t="shared" si="25"/>
        <v>95948.4</v>
      </c>
      <c r="J185" s="149"/>
      <c r="K185" s="152"/>
      <c r="L185" s="185"/>
      <c r="M185" s="185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</row>
    <row r="186" spans="1:30" s="176" customFormat="1">
      <c r="A186" s="176">
        <f t="shared" si="30"/>
        <v>116</v>
      </c>
      <c r="B186" s="173">
        <f t="shared" si="23"/>
        <v>48273</v>
      </c>
      <c r="C186" s="173" t="e">
        <f>#REF!</f>
        <v>#REF!</v>
      </c>
      <c r="D186" s="173"/>
      <c r="E186" s="174">
        <f t="shared" si="29"/>
        <v>80000</v>
      </c>
      <c r="F186" s="174">
        <f t="shared" si="26"/>
        <v>2429583.2999999998</v>
      </c>
      <c r="G186" s="175">
        <f t="shared" si="24"/>
        <v>14443.87</v>
      </c>
      <c r="H186" s="175"/>
      <c r="I186" s="195">
        <f t="shared" si="25"/>
        <v>94443.87</v>
      </c>
      <c r="J186" s="149"/>
      <c r="K186" s="152"/>
      <c r="L186" s="185"/>
      <c r="M186" s="185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</row>
    <row r="187" spans="1:30" s="176" customFormat="1">
      <c r="A187" s="176">
        <f t="shared" si="30"/>
        <v>117</v>
      </c>
      <c r="B187" s="173">
        <f t="shared" si="23"/>
        <v>48304</v>
      </c>
      <c r="C187" s="173" t="e">
        <f>#REF!</f>
        <v>#REF!</v>
      </c>
      <c r="D187" s="173"/>
      <c r="E187" s="174">
        <f t="shared" si="29"/>
        <v>80000</v>
      </c>
      <c r="F187" s="174">
        <f t="shared" si="26"/>
        <v>2349583.2999999998</v>
      </c>
      <c r="G187" s="175">
        <f t="shared" si="24"/>
        <v>14931.6</v>
      </c>
      <c r="H187" s="175"/>
      <c r="I187" s="195">
        <f t="shared" si="25"/>
        <v>94931.6</v>
      </c>
      <c r="J187" s="149"/>
      <c r="K187" s="152"/>
      <c r="L187" s="185"/>
      <c r="M187" s="185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</row>
    <row r="188" spans="1:30" s="176" customFormat="1">
      <c r="A188" s="176">
        <f t="shared" si="30"/>
        <v>118</v>
      </c>
      <c r="B188" s="173">
        <f t="shared" si="23"/>
        <v>48334</v>
      </c>
      <c r="C188" s="173" t="e">
        <f>#REF!</f>
        <v>#REF!</v>
      </c>
      <c r="D188" s="173"/>
      <c r="E188" s="174">
        <f t="shared" si="29"/>
        <v>80000</v>
      </c>
      <c r="F188" s="174">
        <f t="shared" si="26"/>
        <v>2269583.2999999998</v>
      </c>
      <c r="G188" s="175">
        <f t="shared" si="24"/>
        <v>13957.94</v>
      </c>
      <c r="H188" s="175"/>
      <c r="I188" s="195">
        <f t="shared" si="25"/>
        <v>93957.94</v>
      </c>
      <c r="J188" s="149"/>
      <c r="K188" s="152"/>
      <c r="L188" s="185"/>
      <c r="M188" s="185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</row>
    <row r="189" spans="1:30" s="176" customFormat="1">
      <c r="A189" s="176">
        <f t="shared" si="30"/>
        <v>119</v>
      </c>
      <c r="B189" s="173">
        <f t="shared" si="23"/>
        <v>48365</v>
      </c>
      <c r="C189" s="173" t="e">
        <f>#REF!</f>
        <v>#REF!</v>
      </c>
      <c r="D189" s="173"/>
      <c r="E189" s="174">
        <f t="shared" si="29"/>
        <v>80000</v>
      </c>
      <c r="F189" s="174">
        <f t="shared" si="26"/>
        <v>2189583.2999999998</v>
      </c>
      <c r="G189" s="175">
        <f t="shared" si="24"/>
        <v>13914.8</v>
      </c>
      <c r="H189" s="175"/>
      <c r="I189" s="195">
        <f t="shared" si="25"/>
        <v>93914.8</v>
      </c>
      <c r="J189" s="149"/>
      <c r="K189" s="152"/>
      <c r="L189" s="185"/>
      <c r="M189" s="185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</row>
    <row r="190" spans="1:30" s="176" customFormat="1">
      <c r="A190" s="176">
        <f t="shared" si="30"/>
        <v>120</v>
      </c>
      <c r="B190" s="173">
        <f t="shared" si="23"/>
        <v>48395</v>
      </c>
      <c r="C190" s="173" t="e">
        <f>#REF!</f>
        <v>#REF!</v>
      </c>
      <c r="D190" s="173"/>
      <c r="E190" s="174">
        <f t="shared" si="29"/>
        <v>80000</v>
      </c>
      <c r="F190" s="174">
        <f t="shared" si="26"/>
        <v>2109583.2999999998</v>
      </c>
      <c r="G190" s="175">
        <f t="shared" si="24"/>
        <v>12973.94</v>
      </c>
      <c r="H190" s="175"/>
      <c r="I190" s="195">
        <f t="shared" si="25"/>
        <v>92973.94</v>
      </c>
      <c r="J190" s="149"/>
      <c r="K190" s="152"/>
      <c r="L190" s="185"/>
      <c r="M190" s="185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</row>
    <row r="191" spans="1:30" s="176" customFormat="1">
      <c r="A191" s="176">
        <f t="shared" si="30"/>
        <v>121</v>
      </c>
      <c r="B191" s="173">
        <f t="shared" si="23"/>
        <v>48426</v>
      </c>
      <c r="C191" s="173" t="e">
        <f>#REF!</f>
        <v>#REF!</v>
      </c>
      <c r="D191" s="173"/>
      <c r="E191" s="174">
        <f t="shared" si="29"/>
        <v>80000</v>
      </c>
      <c r="F191" s="174">
        <f t="shared" si="26"/>
        <v>2029583.2999999998</v>
      </c>
      <c r="G191" s="175">
        <f t="shared" si="24"/>
        <v>12898</v>
      </c>
      <c r="H191" s="175"/>
      <c r="I191" s="195">
        <f t="shared" si="25"/>
        <v>92898</v>
      </c>
      <c r="J191" s="149"/>
      <c r="K191" s="152"/>
      <c r="L191" s="185"/>
      <c r="M191" s="185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</row>
    <row r="192" spans="1:30" s="176" customFormat="1">
      <c r="A192" s="176">
        <f t="shared" si="30"/>
        <v>122</v>
      </c>
      <c r="B192" s="173">
        <f t="shared" si="23"/>
        <v>48457</v>
      </c>
      <c r="C192" s="173" t="e">
        <f>#REF!</f>
        <v>#REF!</v>
      </c>
      <c r="D192" s="173"/>
      <c r="E192" s="174">
        <f t="shared" si="29"/>
        <v>80000</v>
      </c>
      <c r="F192" s="174">
        <f t="shared" si="26"/>
        <v>1949583.2999999998</v>
      </c>
      <c r="G192" s="175">
        <f t="shared" si="24"/>
        <v>12389.6</v>
      </c>
      <c r="H192" s="175"/>
      <c r="I192" s="195">
        <f t="shared" si="25"/>
        <v>92389.6</v>
      </c>
      <c r="J192" s="149"/>
      <c r="K192" s="152"/>
      <c r="L192" s="185"/>
      <c r="M192" s="185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</row>
    <row r="193" spans="1:30" s="176" customFormat="1">
      <c r="A193" s="176">
        <f t="shared" si="30"/>
        <v>123</v>
      </c>
      <c r="B193" s="173">
        <f t="shared" si="23"/>
        <v>48487</v>
      </c>
      <c r="C193" s="173" t="e">
        <f>#REF!</f>
        <v>#REF!</v>
      </c>
      <c r="D193" s="173"/>
      <c r="E193" s="174">
        <f t="shared" si="29"/>
        <v>80000</v>
      </c>
      <c r="F193" s="174">
        <f t="shared" si="26"/>
        <v>1869583.2999999998</v>
      </c>
      <c r="G193" s="175">
        <f t="shared" si="24"/>
        <v>11497.94</v>
      </c>
      <c r="H193" s="175"/>
      <c r="I193" s="195">
        <f t="shared" si="25"/>
        <v>91497.94</v>
      </c>
      <c r="J193" s="149"/>
      <c r="K193" s="152"/>
      <c r="L193" s="185"/>
      <c r="M193" s="185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</row>
    <row r="194" spans="1:30" s="176" customFormat="1">
      <c r="A194" s="176">
        <f t="shared" si="30"/>
        <v>124</v>
      </c>
      <c r="B194" s="173">
        <f t="shared" si="23"/>
        <v>48518</v>
      </c>
      <c r="C194" s="173" t="e">
        <f>#REF!</f>
        <v>#REF!</v>
      </c>
      <c r="D194" s="173"/>
      <c r="E194" s="174">
        <f t="shared" si="29"/>
        <v>80000</v>
      </c>
      <c r="F194" s="174">
        <f t="shared" si="26"/>
        <v>1789583.2999999998</v>
      </c>
      <c r="G194" s="175">
        <f t="shared" si="24"/>
        <v>11372.8</v>
      </c>
      <c r="H194" s="175"/>
      <c r="I194" s="195">
        <f t="shared" si="25"/>
        <v>91372.800000000003</v>
      </c>
      <c r="J194" s="149"/>
      <c r="K194" s="152"/>
      <c r="L194" s="185"/>
      <c r="M194" s="185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</row>
    <row r="195" spans="1:30" s="176" customFormat="1">
      <c r="A195" s="176">
        <f t="shared" si="30"/>
        <v>125</v>
      </c>
      <c r="B195" s="173">
        <f t="shared" si="23"/>
        <v>48548</v>
      </c>
      <c r="C195" s="173" t="e">
        <f>#REF!</f>
        <v>#REF!</v>
      </c>
      <c r="D195" s="173"/>
      <c r="E195" s="174">
        <f t="shared" si="29"/>
        <v>80000</v>
      </c>
      <c r="F195" s="174">
        <f t="shared" si="26"/>
        <v>1709583.2999999998</v>
      </c>
      <c r="G195" s="175">
        <f t="shared" si="24"/>
        <v>10513.94</v>
      </c>
      <c r="H195" s="175"/>
      <c r="I195" s="195">
        <f t="shared" si="25"/>
        <v>90513.94</v>
      </c>
      <c r="J195" s="149"/>
      <c r="K195" s="152"/>
      <c r="L195" s="185"/>
      <c r="M195" s="185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</row>
    <row r="196" spans="1:30" s="171" customFormat="1">
      <c r="A196" s="171">
        <f t="shared" si="30"/>
        <v>126</v>
      </c>
      <c r="B196" s="168">
        <f t="shared" si="23"/>
        <v>48579</v>
      </c>
      <c r="C196" s="168" t="e">
        <f>#REF!</f>
        <v>#REF!</v>
      </c>
      <c r="D196" s="168"/>
      <c r="E196" s="169">
        <f t="shared" si="29"/>
        <v>80000</v>
      </c>
      <c r="F196" s="169">
        <f t="shared" si="26"/>
        <v>1629583.2999999998</v>
      </c>
      <c r="G196" s="170">
        <f t="shared" si="24"/>
        <v>10356</v>
      </c>
      <c r="H196" s="170"/>
      <c r="I196" s="194">
        <f t="shared" si="25"/>
        <v>90356</v>
      </c>
      <c r="K196" s="172"/>
      <c r="L196" s="172">
        <f>SUM(E185:E196)</f>
        <v>960000</v>
      </c>
      <c r="M196" s="172">
        <f>SUM(G185:G196)</f>
        <v>155198.83000000002</v>
      </c>
    </row>
    <row r="197" spans="1:30" s="176" customFormat="1">
      <c r="A197" s="176">
        <f t="shared" si="30"/>
        <v>127</v>
      </c>
      <c r="B197" s="173">
        <f t="shared" si="23"/>
        <v>48610</v>
      </c>
      <c r="C197" s="173" t="e">
        <f>#REF!</f>
        <v>#REF!</v>
      </c>
      <c r="D197" s="173"/>
      <c r="E197" s="174">
        <v>90000</v>
      </c>
      <c r="F197" s="174">
        <f t="shared" si="26"/>
        <v>1549583.2999999998</v>
      </c>
      <c r="G197" s="175">
        <f t="shared" si="24"/>
        <v>9847.6</v>
      </c>
      <c r="H197" s="175"/>
      <c r="I197" s="195">
        <f t="shared" si="25"/>
        <v>99847.6</v>
      </c>
      <c r="J197" s="149"/>
      <c r="K197" s="152"/>
      <c r="L197" s="185"/>
      <c r="M197" s="185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</row>
    <row r="198" spans="1:30" s="176" customFormat="1">
      <c r="A198" s="176">
        <f t="shared" si="30"/>
        <v>128</v>
      </c>
      <c r="B198" s="173">
        <f t="shared" si="23"/>
        <v>48638</v>
      </c>
      <c r="C198" s="173" t="e">
        <f>#REF!</f>
        <v>#REF!</v>
      </c>
      <c r="D198" s="173"/>
      <c r="E198" s="174">
        <f t="shared" si="29"/>
        <v>90000</v>
      </c>
      <c r="F198" s="174">
        <f t="shared" si="26"/>
        <v>1459583.2999999998</v>
      </c>
      <c r="G198" s="175">
        <f t="shared" si="24"/>
        <v>8378.01</v>
      </c>
      <c r="H198" s="175"/>
      <c r="I198" s="195">
        <f t="shared" si="25"/>
        <v>98378.01</v>
      </c>
      <c r="J198" s="149"/>
      <c r="K198" s="152"/>
      <c r="L198" s="185"/>
      <c r="M198" s="185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</row>
    <row r="199" spans="1:30" s="176" customFormat="1">
      <c r="A199" s="176">
        <f t="shared" si="30"/>
        <v>129</v>
      </c>
      <c r="B199" s="173">
        <f t="shared" si="23"/>
        <v>48669</v>
      </c>
      <c r="C199" s="173" t="e">
        <f>#REF!</f>
        <v>#REF!</v>
      </c>
      <c r="D199" s="173"/>
      <c r="E199" s="174">
        <f t="shared" si="29"/>
        <v>90000</v>
      </c>
      <c r="F199" s="174">
        <f t="shared" si="26"/>
        <v>1369583.2999999998</v>
      </c>
      <c r="G199" s="175">
        <f t="shared" si="24"/>
        <v>8703.7000000000007</v>
      </c>
      <c r="H199" s="175"/>
      <c r="I199" s="195">
        <f t="shared" si="25"/>
        <v>98703.7</v>
      </c>
      <c r="J199" s="149"/>
      <c r="K199" s="152"/>
      <c r="L199" s="185"/>
      <c r="M199" s="185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</row>
    <row r="200" spans="1:30" s="176" customFormat="1">
      <c r="A200" s="176">
        <f t="shared" si="30"/>
        <v>130</v>
      </c>
      <c r="B200" s="173">
        <f t="shared" si="23"/>
        <v>48699</v>
      </c>
      <c r="C200" s="173" t="e">
        <f>#REF!</f>
        <v>#REF!</v>
      </c>
      <c r="D200" s="173"/>
      <c r="E200" s="174">
        <f t="shared" si="29"/>
        <v>90000</v>
      </c>
      <c r="F200" s="174">
        <f t="shared" si="26"/>
        <v>1279583.2999999998</v>
      </c>
      <c r="G200" s="175">
        <f t="shared" si="24"/>
        <v>7869.44</v>
      </c>
      <c r="H200" s="175"/>
      <c r="I200" s="195">
        <f t="shared" si="25"/>
        <v>97869.440000000002</v>
      </c>
      <c r="J200" s="149"/>
      <c r="K200" s="152"/>
      <c r="L200" s="185"/>
      <c r="M200" s="185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</row>
    <row r="201" spans="1:30" s="176" customFormat="1">
      <c r="A201" s="176">
        <f t="shared" si="30"/>
        <v>131</v>
      </c>
      <c r="B201" s="173">
        <f t="shared" si="23"/>
        <v>48730</v>
      </c>
      <c r="C201" s="173" t="e">
        <f>#REF!</f>
        <v>#REF!</v>
      </c>
      <c r="D201" s="173"/>
      <c r="E201" s="174">
        <f t="shared" si="29"/>
        <v>90000</v>
      </c>
      <c r="F201" s="174">
        <f t="shared" si="26"/>
        <v>1189583.2999999998</v>
      </c>
      <c r="G201" s="175">
        <f t="shared" si="24"/>
        <v>7559.8</v>
      </c>
      <c r="H201" s="175"/>
      <c r="I201" s="195">
        <f t="shared" si="25"/>
        <v>97559.8</v>
      </c>
      <c r="J201" s="149"/>
      <c r="K201" s="152"/>
      <c r="L201" s="185"/>
      <c r="M201" s="185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</row>
    <row r="202" spans="1:30" s="176" customFormat="1">
      <c r="A202" s="176">
        <f t="shared" si="30"/>
        <v>132</v>
      </c>
      <c r="B202" s="173">
        <f t="shared" si="23"/>
        <v>48760</v>
      </c>
      <c r="C202" s="173" t="e">
        <f>#REF!</f>
        <v>#REF!</v>
      </c>
      <c r="D202" s="173"/>
      <c r="E202" s="174">
        <f t="shared" si="29"/>
        <v>90000</v>
      </c>
      <c r="F202" s="174">
        <f t="shared" si="26"/>
        <v>1099583.2999999998</v>
      </c>
      <c r="G202" s="175">
        <f t="shared" si="24"/>
        <v>6762.44</v>
      </c>
      <c r="H202" s="175"/>
      <c r="I202" s="195">
        <f t="shared" si="25"/>
        <v>96762.44</v>
      </c>
      <c r="J202" s="149"/>
      <c r="K202" s="152"/>
      <c r="L202" s="185"/>
      <c r="M202" s="185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</row>
    <row r="203" spans="1:30" s="176" customFormat="1">
      <c r="A203" s="176">
        <f t="shared" si="30"/>
        <v>133</v>
      </c>
      <c r="B203" s="173">
        <f t="shared" si="23"/>
        <v>48791</v>
      </c>
      <c r="C203" s="173" t="e">
        <f>#REF!</f>
        <v>#REF!</v>
      </c>
      <c r="D203" s="173"/>
      <c r="E203" s="174">
        <f t="shared" si="29"/>
        <v>90000</v>
      </c>
      <c r="F203" s="174">
        <f t="shared" si="26"/>
        <v>1009583.2999999998</v>
      </c>
      <c r="G203" s="175">
        <f t="shared" si="24"/>
        <v>6415.9</v>
      </c>
      <c r="H203" s="175"/>
      <c r="I203" s="195">
        <f t="shared" si="25"/>
        <v>96415.9</v>
      </c>
      <c r="J203" s="149"/>
      <c r="K203" s="152"/>
      <c r="L203" s="185"/>
      <c r="M203" s="185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</row>
    <row r="204" spans="1:30" s="176" customFormat="1">
      <c r="A204" s="176">
        <f t="shared" si="30"/>
        <v>134</v>
      </c>
      <c r="B204" s="173">
        <f t="shared" si="23"/>
        <v>48822</v>
      </c>
      <c r="C204" s="173" t="e">
        <f>#REF!</f>
        <v>#REF!</v>
      </c>
      <c r="D204" s="173"/>
      <c r="E204" s="174">
        <f t="shared" si="29"/>
        <v>90000</v>
      </c>
      <c r="F204" s="174">
        <f t="shared" si="26"/>
        <v>919583.29999999981</v>
      </c>
      <c r="G204" s="175">
        <f t="shared" si="24"/>
        <v>5843.95</v>
      </c>
      <c r="H204" s="175"/>
      <c r="I204" s="195">
        <f t="shared" si="25"/>
        <v>95843.95</v>
      </c>
      <c r="J204" s="149"/>
      <c r="K204" s="152"/>
      <c r="L204" s="185"/>
      <c r="M204" s="185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</row>
    <row r="205" spans="1:30" s="176" customFormat="1">
      <c r="A205" s="176">
        <f t="shared" si="30"/>
        <v>135</v>
      </c>
      <c r="B205" s="173">
        <f t="shared" si="23"/>
        <v>48852</v>
      </c>
      <c r="C205" s="173" t="e">
        <f>#REF!</f>
        <v>#REF!</v>
      </c>
      <c r="D205" s="173"/>
      <c r="E205" s="174">
        <f t="shared" si="29"/>
        <v>90000</v>
      </c>
      <c r="F205" s="174">
        <f t="shared" si="26"/>
        <v>829583.29999999981</v>
      </c>
      <c r="G205" s="175">
        <f t="shared" si="24"/>
        <v>5101.9399999999996</v>
      </c>
      <c r="H205" s="175"/>
      <c r="I205" s="195">
        <f t="shared" si="25"/>
        <v>95101.94</v>
      </c>
      <c r="J205" s="149"/>
      <c r="K205" s="152"/>
      <c r="L205" s="185"/>
      <c r="M205" s="185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</row>
    <row r="206" spans="1:30" s="176" customFormat="1">
      <c r="A206" s="176">
        <f t="shared" si="30"/>
        <v>136</v>
      </c>
      <c r="B206" s="173">
        <f t="shared" si="23"/>
        <v>48883</v>
      </c>
      <c r="C206" s="173" t="e">
        <f>#REF!</f>
        <v>#REF!</v>
      </c>
      <c r="D206" s="173"/>
      <c r="E206" s="174">
        <f t="shared" si="29"/>
        <v>90000</v>
      </c>
      <c r="F206" s="174">
        <f t="shared" si="26"/>
        <v>739583.29999999981</v>
      </c>
      <c r="G206" s="175">
        <f t="shared" si="24"/>
        <v>4700.05</v>
      </c>
      <c r="H206" s="175"/>
      <c r="I206" s="195">
        <f t="shared" si="25"/>
        <v>94700.05</v>
      </c>
      <c r="J206" s="149"/>
      <c r="K206" s="152"/>
      <c r="L206" s="185"/>
      <c r="M206" s="185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</row>
    <row r="207" spans="1:30" s="176" customFormat="1">
      <c r="A207" s="176">
        <f t="shared" si="30"/>
        <v>137</v>
      </c>
      <c r="B207" s="173">
        <f t="shared" si="23"/>
        <v>48913</v>
      </c>
      <c r="C207" s="173" t="e">
        <f>#REF!</f>
        <v>#REF!</v>
      </c>
      <c r="D207" s="173"/>
      <c r="E207" s="174">
        <f t="shared" si="29"/>
        <v>90000</v>
      </c>
      <c r="F207" s="174">
        <f t="shared" si="26"/>
        <v>649583.29999999981</v>
      </c>
      <c r="G207" s="175">
        <f t="shared" si="24"/>
        <v>3994.94</v>
      </c>
      <c r="H207" s="175"/>
      <c r="I207" s="195">
        <f t="shared" si="25"/>
        <v>93994.94</v>
      </c>
      <c r="J207" s="149"/>
      <c r="K207" s="152"/>
      <c r="L207" s="185"/>
      <c r="M207" s="185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</row>
    <row r="208" spans="1:30" s="171" customFormat="1">
      <c r="A208" s="171">
        <f t="shared" si="30"/>
        <v>138</v>
      </c>
      <c r="B208" s="168">
        <f t="shared" si="23"/>
        <v>48944</v>
      </c>
      <c r="C208" s="168" t="e">
        <f>#REF!</f>
        <v>#REF!</v>
      </c>
      <c r="D208" s="168"/>
      <c r="E208" s="169">
        <f t="shared" si="29"/>
        <v>90000</v>
      </c>
      <c r="F208" s="169">
        <f t="shared" si="26"/>
        <v>559583.29999999981</v>
      </c>
      <c r="G208" s="170">
        <f t="shared" si="24"/>
        <v>3556.15</v>
      </c>
      <c r="H208" s="170"/>
      <c r="I208" s="194">
        <f t="shared" si="25"/>
        <v>93556.15</v>
      </c>
      <c r="K208" s="172"/>
      <c r="L208" s="172">
        <f>SUM(E197:E208)</f>
        <v>1080000</v>
      </c>
      <c r="M208" s="172">
        <f>SUM(G197:G208)</f>
        <v>78733.919999999998</v>
      </c>
    </row>
    <row r="209" spans="1:30" s="176" customFormat="1">
      <c r="A209" s="176">
        <f t="shared" si="30"/>
        <v>139</v>
      </c>
      <c r="B209" s="173">
        <f t="shared" si="23"/>
        <v>48975</v>
      </c>
      <c r="C209" s="173" t="e">
        <f>#REF!</f>
        <v>#REF!</v>
      </c>
      <c r="D209" s="173"/>
      <c r="E209" s="174">
        <v>90000</v>
      </c>
      <c r="F209" s="174">
        <f t="shared" si="26"/>
        <v>469583.29999999981</v>
      </c>
      <c r="G209" s="175">
        <f t="shared" si="24"/>
        <v>2984.2</v>
      </c>
      <c r="H209" s="175"/>
      <c r="I209" s="195">
        <f t="shared" si="25"/>
        <v>92984.2</v>
      </c>
      <c r="J209" s="149"/>
      <c r="K209" s="152"/>
      <c r="L209" s="185"/>
      <c r="M209" s="185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</row>
    <row r="210" spans="1:30" s="176" customFormat="1">
      <c r="A210" s="176">
        <f t="shared" si="30"/>
        <v>140</v>
      </c>
      <c r="B210" s="173">
        <f t="shared" si="23"/>
        <v>49003</v>
      </c>
      <c r="C210" s="173" t="e">
        <f>#REF!</f>
        <v>#REF!</v>
      </c>
      <c r="D210" s="173"/>
      <c r="E210" s="174">
        <f t="shared" si="29"/>
        <v>90000</v>
      </c>
      <c r="F210" s="174">
        <f t="shared" si="26"/>
        <v>379583.29999999981</v>
      </c>
      <c r="G210" s="175">
        <f t="shared" si="24"/>
        <v>2178.81</v>
      </c>
      <c r="H210" s="175"/>
      <c r="I210" s="195">
        <f t="shared" si="25"/>
        <v>92178.81</v>
      </c>
      <c r="J210" s="149"/>
      <c r="K210" s="152"/>
      <c r="L210" s="185"/>
      <c r="M210" s="185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</row>
    <row r="211" spans="1:30" s="176" customFormat="1">
      <c r="A211" s="176">
        <f t="shared" si="30"/>
        <v>141</v>
      </c>
      <c r="B211" s="173">
        <f t="shared" si="23"/>
        <v>49034</v>
      </c>
      <c r="C211" s="173" t="e">
        <f>#REF!</f>
        <v>#REF!</v>
      </c>
      <c r="D211" s="173"/>
      <c r="E211" s="174">
        <f t="shared" si="29"/>
        <v>90000</v>
      </c>
      <c r="F211" s="174">
        <f t="shared" si="26"/>
        <v>289583.29999999981</v>
      </c>
      <c r="G211" s="175">
        <f t="shared" si="24"/>
        <v>1840.3</v>
      </c>
      <c r="H211" s="175"/>
      <c r="I211" s="195">
        <f t="shared" si="25"/>
        <v>91840.3</v>
      </c>
      <c r="J211" s="149"/>
      <c r="K211" s="152"/>
      <c r="L211" s="185"/>
      <c r="M211" s="185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</row>
    <row r="212" spans="1:30" s="176" customFormat="1">
      <c r="A212" s="176">
        <f t="shared" si="30"/>
        <v>142</v>
      </c>
      <c r="B212" s="173">
        <f t="shared" ref="B212:B214" si="31">EOMONTH(B211,1)</f>
        <v>49064</v>
      </c>
      <c r="C212" s="173" t="e">
        <f>#REF!</f>
        <v>#REF!</v>
      </c>
      <c r="D212" s="173"/>
      <c r="E212" s="174">
        <f t="shared" si="29"/>
        <v>90000</v>
      </c>
      <c r="F212" s="174">
        <f t="shared" si="26"/>
        <v>199583.29999999981</v>
      </c>
      <c r="G212" s="175">
        <f t="shared" si="24"/>
        <v>1227.44</v>
      </c>
      <c r="H212" s="175"/>
      <c r="I212" s="195">
        <f t="shared" si="25"/>
        <v>91227.44</v>
      </c>
      <c r="J212" s="149"/>
      <c r="K212" s="152"/>
      <c r="L212" s="185"/>
      <c r="M212" s="185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</row>
    <row r="213" spans="1:30" s="176" customFormat="1">
      <c r="A213" s="176">
        <f t="shared" si="30"/>
        <v>143</v>
      </c>
      <c r="B213" s="173">
        <f t="shared" si="31"/>
        <v>49095</v>
      </c>
      <c r="C213" s="173" t="e">
        <f>#REF!</f>
        <v>#REF!</v>
      </c>
      <c r="D213" s="173"/>
      <c r="E213" s="174">
        <f t="shared" si="29"/>
        <v>90000</v>
      </c>
      <c r="F213" s="174">
        <f t="shared" si="26"/>
        <v>109583.29999999981</v>
      </c>
      <c r="G213" s="175">
        <f t="shared" ref="G213:G214" si="32">ROUND((B213-B212)*$E$8*F213/360,2)</f>
        <v>696.4</v>
      </c>
      <c r="H213" s="175"/>
      <c r="I213" s="195">
        <f t="shared" ref="I213:I214" si="33">E213+G213</f>
        <v>90696.4</v>
      </c>
      <c r="J213" s="149"/>
      <c r="K213" s="152"/>
      <c r="L213" s="185"/>
      <c r="M213" s="185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</row>
    <row r="214" spans="1:30" s="171" customFormat="1">
      <c r="A214" s="171">
        <f t="shared" si="30"/>
        <v>144</v>
      </c>
      <c r="B214" s="168">
        <f t="shared" si="31"/>
        <v>49125</v>
      </c>
      <c r="C214" s="168" t="e">
        <f>#REF!</f>
        <v>#REF!</v>
      </c>
      <c r="D214" s="168"/>
      <c r="E214" s="169">
        <f>130000-3563.6-29769.76-77083.34</f>
        <v>19583.300000000003</v>
      </c>
      <c r="F214" s="169">
        <f t="shared" si="26"/>
        <v>19583.299999999814</v>
      </c>
      <c r="G214" s="170">
        <f t="shared" si="32"/>
        <v>120.44</v>
      </c>
      <c r="H214" s="170"/>
      <c r="I214" s="194">
        <f t="shared" si="33"/>
        <v>19703.740000000002</v>
      </c>
      <c r="K214" s="172"/>
      <c r="L214" s="225">
        <f>SUM(E209:E214)</f>
        <v>469583.3</v>
      </c>
      <c r="M214" s="225">
        <f>SUM(G209:G214)</f>
        <v>9047.59</v>
      </c>
    </row>
    <row r="215" spans="1:30" s="176" customFormat="1">
      <c r="B215" s="178" t="s">
        <v>32</v>
      </c>
      <c r="C215" s="178"/>
      <c r="D215" s="216">
        <f>E4</f>
        <v>6989583.2999999998</v>
      </c>
      <c r="E215" s="179">
        <f>SUM(E71:E214)</f>
        <v>6989583.2999999998</v>
      </c>
      <c r="F215" s="179"/>
      <c r="G215" s="179">
        <f>SUM(G71:G214)</f>
        <v>3929247.2600000016</v>
      </c>
      <c r="H215" s="179"/>
      <c r="I215" s="179">
        <f>SUM(I19:I162)</f>
        <v>6623705.520000007</v>
      </c>
      <c r="J215" s="149"/>
      <c r="K215" s="152">
        <f t="shared" si="28"/>
        <v>1471934.5600000015</v>
      </c>
      <c r="N215" s="152"/>
      <c r="O215" s="152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</row>
    <row r="216" spans="1:30" s="176" customFormat="1">
      <c r="B216" s="180" t="s">
        <v>130</v>
      </c>
      <c r="C216" s="181"/>
      <c r="D216" s="181"/>
      <c r="E216" s="177"/>
      <c r="F216" s="177"/>
      <c r="G216" s="182"/>
      <c r="H216" s="182"/>
      <c r="I216" s="177"/>
      <c r="J216" s="149"/>
      <c r="K216" s="152"/>
      <c r="L216" s="149"/>
      <c r="M216" s="152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</row>
    <row r="217" spans="1:30" s="201" customFormat="1">
      <c r="B217" s="196" t="s">
        <v>85</v>
      </c>
      <c r="C217" s="196"/>
      <c r="D217" s="196"/>
      <c r="E217" s="197"/>
      <c r="F217" s="197"/>
      <c r="G217" s="198"/>
      <c r="H217" s="198"/>
      <c r="I217" s="197"/>
      <c r="J217" s="199"/>
      <c r="K217" s="200"/>
      <c r="L217" s="199"/>
      <c r="M217" s="199"/>
      <c r="N217" s="199"/>
      <c r="O217" s="199"/>
      <c r="P217" s="199"/>
      <c r="Q217" s="199"/>
      <c r="R217" s="199"/>
      <c r="S217" s="199"/>
      <c r="T217" s="199"/>
      <c r="U217" s="199"/>
      <c r="V217" s="199"/>
      <c r="W217" s="199"/>
      <c r="X217" s="199"/>
      <c r="Y217" s="199"/>
      <c r="Z217" s="199"/>
      <c r="AA217" s="199"/>
      <c r="AB217" s="199"/>
      <c r="AC217" s="199"/>
      <c r="AD217" s="199"/>
    </row>
    <row r="218" spans="1:30" s="201" customFormat="1">
      <c r="B218" s="196" t="s">
        <v>86</v>
      </c>
      <c r="C218" s="196"/>
      <c r="D218" s="196"/>
      <c r="E218" s="197"/>
      <c r="F218" s="197"/>
      <c r="G218" s="198"/>
      <c r="H218" s="198"/>
      <c r="I218" s="197"/>
      <c r="J218" s="199"/>
      <c r="K218" s="200"/>
      <c r="L218" s="199"/>
      <c r="M218" s="199"/>
      <c r="N218" s="199"/>
      <c r="O218" s="199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  <c r="Z218" s="199"/>
      <c r="AA218" s="199"/>
      <c r="AB218" s="199"/>
      <c r="AC218" s="199"/>
      <c r="AD218" s="199"/>
    </row>
    <row r="219" spans="1:30" s="176" customFormat="1">
      <c r="B219" s="181"/>
      <c r="C219" s="181"/>
      <c r="D219" s="181"/>
      <c r="E219" s="177"/>
      <c r="F219" s="177"/>
      <c r="G219" s="182"/>
      <c r="H219" s="182"/>
      <c r="I219" s="177"/>
      <c r="J219" s="149"/>
      <c r="K219" s="152"/>
      <c r="L219" s="172">
        <f>SUM(L214,L208,L196,L184,L172,L160,L148,L136,L124,L112,L100,L88,L76)</f>
        <v>6989583.2999999998</v>
      </c>
      <c r="M219" s="172">
        <f>SUM(M214,M208,M196,M184,M172,M160,M148,M136,M124,M112,M100,M88,M76)</f>
        <v>3929247.26</v>
      </c>
      <c r="N219" s="187"/>
      <c r="O219" s="187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</row>
    <row r="220" spans="1:30" s="176" customFormat="1">
      <c r="B220" s="181"/>
      <c r="C220" s="181"/>
      <c r="D220" s="181"/>
      <c r="E220" s="177">
        <f>E4-E215</f>
        <v>0</v>
      </c>
      <c r="F220" s="177"/>
      <c r="G220" s="182"/>
      <c r="H220" s="182"/>
      <c r="I220" s="177"/>
      <c r="J220" s="149"/>
      <c r="K220" s="152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</row>
    <row r="221" spans="1:30" s="176" customFormat="1">
      <c r="B221" s="181"/>
      <c r="C221" s="181"/>
      <c r="D221" s="181"/>
      <c r="E221" s="177"/>
      <c r="F221" s="177"/>
      <c r="G221" s="182"/>
      <c r="H221" s="182"/>
      <c r="I221" s="177"/>
      <c r="J221" s="149"/>
      <c r="K221" s="152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</row>
    <row r="222" spans="1:30" s="176" customFormat="1">
      <c r="B222" s="181"/>
      <c r="C222" s="181"/>
      <c r="D222" s="181"/>
      <c r="E222" s="177"/>
      <c r="F222" s="177"/>
      <c r="G222" s="182"/>
      <c r="H222" s="182"/>
      <c r="I222" s="177"/>
      <c r="J222" s="149"/>
      <c r="K222" s="152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</row>
    <row r="223" spans="1:30" s="176" customFormat="1">
      <c r="B223" s="181"/>
      <c r="C223" s="181"/>
      <c r="D223" s="181"/>
      <c r="E223" s="177"/>
      <c r="F223" s="177"/>
      <c r="G223" s="182"/>
      <c r="H223" s="182"/>
      <c r="I223" s="177"/>
      <c r="J223" s="149"/>
      <c r="K223" s="152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</row>
    <row r="224" spans="1:30" s="176" customFormat="1">
      <c r="B224" s="181"/>
      <c r="C224" s="181"/>
      <c r="D224" s="181"/>
      <c r="E224" s="177"/>
      <c r="F224" s="177"/>
      <c r="G224" s="182"/>
      <c r="H224" s="182"/>
      <c r="I224" s="177"/>
      <c r="J224" s="149"/>
      <c r="K224" s="152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</row>
    <row r="225" spans="2:30" s="176" customFormat="1">
      <c r="B225" s="181"/>
      <c r="C225" s="181"/>
      <c r="D225" s="181"/>
      <c r="E225" s="177"/>
      <c r="F225" s="177"/>
      <c r="G225" s="182"/>
      <c r="H225" s="182"/>
      <c r="I225" s="177"/>
      <c r="J225" s="149"/>
      <c r="K225" s="152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</row>
    <row r="226" spans="2:30" s="176" customFormat="1">
      <c r="B226" s="181"/>
      <c r="C226" s="181"/>
      <c r="D226" s="181"/>
      <c r="E226" s="177"/>
      <c r="F226" s="177"/>
      <c r="G226" s="182"/>
      <c r="H226" s="182"/>
      <c r="I226" s="177"/>
      <c r="J226" s="149"/>
      <c r="K226" s="152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</row>
    <row r="227" spans="2:30" s="176" customFormat="1">
      <c r="B227" s="181"/>
      <c r="C227" s="181"/>
      <c r="D227" s="181"/>
      <c r="E227" s="177"/>
      <c r="F227" s="177"/>
      <c r="G227" s="182"/>
      <c r="H227" s="182"/>
      <c r="I227" s="177"/>
      <c r="J227" s="149"/>
      <c r="K227" s="152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</row>
    <row r="228" spans="2:30" s="176" customFormat="1">
      <c r="B228" s="181"/>
      <c r="C228" s="181"/>
      <c r="D228" s="181"/>
      <c r="E228" s="177"/>
      <c r="F228" s="177"/>
      <c r="G228" s="182"/>
      <c r="H228" s="182"/>
      <c r="I228" s="177"/>
      <c r="J228" s="149"/>
      <c r="K228" s="152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</row>
    <row r="229" spans="2:30" s="176" customFormat="1">
      <c r="B229" s="181"/>
      <c r="C229" s="181"/>
      <c r="D229" s="181"/>
      <c r="E229" s="177"/>
      <c r="F229" s="177"/>
      <c r="G229" s="182"/>
      <c r="H229" s="182"/>
      <c r="I229" s="177"/>
      <c r="J229" s="149"/>
      <c r="K229" s="152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</row>
    <row r="230" spans="2:30" s="176" customFormat="1">
      <c r="B230" s="181"/>
      <c r="C230" s="181"/>
      <c r="D230" s="181"/>
      <c r="E230" s="177"/>
      <c r="F230" s="177"/>
      <c r="G230" s="182"/>
      <c r="H230" s="182"/>
      <c r="I230" s="177"/>
      <c r="J230" s="149"/>
      <c r="K230" s="152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</row>
    <row r="231" spans="2:30" s="176" customFormat="1">
      <c r="B231" s="181"/>
      <c r="C231" s="181"/>
      <c r="D231" s="181"/>
      <c r="E231" s="177"/>
      <c r="F231" s="177"/>
      <c r="G231" s="182"/>
      <c r="H231" s="182"/>
      <c r="I231" s="177"/>
      <c r="J231" s="149"/>
      <c r="K231" s="152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</row>
    <row r="232" spans="2:30" s="176" customFormat="1">
      <c r="B232" s="181"/>
      <c r="C232" s="181"/>
      <c r="D232" s="181"/>
      <c r="E232" s="177"/>
      <c r="F232" s="177"/>
      <c r="G232" s="182"/>
      <c r="H232" s="182"/>
      <c r="I232" s="177"/>
      <c r="J232" s="149"/>
      <c r="K232" s="152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</row>
    <row r="233" spans="2:30" s="176" customFormat="1">
      <c r="B233" s="181"/>
      <c r="C233" s="181"/>
      <c r="D233" s="181"/>
      <c r="E233" s="177"/>
      <c r="F233" s="177"/>
      <c r="G233" s="182"/>
      <c r="H233" s="182"/>
      <c r="I233" s="177"/>
      <c r="J233" s="149"/>
      <c r="K233" s="152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</row>
    <row r="234" spans="2:30" s="176" customFormat="1">
      <c r="B234" s="181"/>
      <c r="C234" s="181"/>
      <c r="D234" s="181"/>
      <c r="E234" s="177"/>
      <c r="F234" s="177"/>
      <c r="G234" s="182"/>
      <c r="H234" s="182"/>
      <c r="I234" s="177"/>
      <c r="J234" s="149"/>
      <c r="K234" s="152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</row>
    <row r="235" spans="2:30" s="176" customFormat="1">
      <c r="B235" s="181"/>
      <c r="C235" s="181"/>
      <c r="D235" s="181"/>
      <c r="E235" s="177"/>
      <c r="F235" s="177"/>
      <c r="G235" s="182"/>
      <c r="H235" s="182"/>
      <c r="I235" s="177"/>
      <c r="J235" s="149"/>
      <c r="K235" s="152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</row>
    <row r="236" spans="2:30" s="176" customFormat="1">
      <c r="B236" s="181"/>
      <c r="C236" s="181"/>
      <c r="D236" s="181"/>
      <c r="E236" s="177"/>
      <c r="F236" s="177"/>
      <c r="G236" s="182"/>
      <c r="H236" s="182"/>
      <c r="I236" s="177"/>
      <c r="J236" s="149"/>
      <c r="K236" s="152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</row>
    <row r="237" spans="2:30" s="176" customFormat="1">
      <c r="B237" s="181"/>
      <c r="C237" s="181"/>
      <c r="D237" s="181"/>
      <c r="E237" s="177"/>
      <c r="F237" s="177"/>
      <c r="G237" s="182"/>
      <c r="H237" s="182"/>
      <c r="I237" s="177"/>
      <c r="J237" s="149"/>
      <c r="K237" s="152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</row>
    <row r="238" spans="2:30" s="176" customFormat="1">
      <c r="B238" s="181"/>
      <c r="C238" s="181"/>
      <c r="D238" s="181"/>
      <c r="E238" s="177"/>
      <c r="F238" s="177"/>
      <c r="G238" s="182"/>
      <c r="H238" s="182"/>
      <c r="I238" s="177"/>
      <c r="J238" s="149"/>
      <c r="K238" s="152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</row>
    <row r="239" spans="2:30" s="176" customFormat="1">
      <c r="B239" s="181"/>
      <c r="C239" s="181"/>
      <c r="D239" s="181"/>
      <c r="E239" s="177"/>
      <c r="F239" s="177"/>
      <c r="G239" s="182"/>
      <c r="H239" s="182"/>
      <c r="I239" s="177"/>
      <c r="J239" s="149"/>
      <c r="K239" s="152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</row>
    <row r="240" spans="2:30" s="176" customFormat="1">
      <c r="B240" s="181"/>
      <c r="C240" s="181"/>
      <c r="D240" s="181"/>
      <c r="E240" s="177"/>
      <c r="F240" s="177"/>
      <c r="G240" s="182"/>
      <c r="H240" s="182"/>
      <c r="I240" s="177"/>
      <c r="J240" s="149"/>
      <c r="K240" s="152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</row>
    <row r="241" spans="2:30" s="176" customFormat="1">
      <c r="B241" s="181"/>
      <c r="C241" s="181"/>
      <c r="D241" s="181"/>
      <c r="E241" s="177"/>
      <c r="F241" s="177"/>
      <c r="G241" s="182"/>
      <c r="H241" s="182"/>
      <c r="I241" s="177"/>
      <c r="J241" s="149"/>
      <c r="K241" s="152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</row>
    <row r="242" spans="2:30" s="176" customFormat="1">
      <c r="B242" s="181"/>
      <c r="C242" s="181"/>
      <c r="D242" s="181"/>
      <c r="E242" s="177"/>
      <c r="F242" s="177"/>
      <c r="G242" s="182"/>
      <c r="H242" s="182"/>
      <c r="I242" s="177"/>
      <c r="J242" s="149"/>
      <c r="K242" s="152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</row>
    <row r="243" spans="2:30" s="176" customFormat="1">
      <c r="B243" s="181"/>
      <c r="C243" s="181"/>
      <c r="D243" s="181"/>
      <c r="E243" s="177"/>
      <c r="F243" s="177"/>
      <c r="G243" s="182"/>
      <c r="H243" s="182"/>
      <c r="I243" s="177"/>
      <c r="J243" s="149"/>
      <c r="K243" s="152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</row>
    <row r="244" spans="2:30" s="176" customFormat="1">
      <c r="B244" s="181"/>
      <c r="C244" s="181"/>
      <c r="D244" s="181"/>
      <c r="E244" s="177"/>
      <c r="F244" s="177"/>
      <c r="G244" s="182"/>
      <c r="H244" s="182"/>
      <c r="I244" s="177"/>
      <c r="J244" s="149"/>
      <c r="K244" s="152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</row>
    <row r="245" spans="2:30" s="176" customFormat="1">
      <c r="B245" s="181"/>
      <c r="C245" s="181"/>
      <c r="D245" s="181"/>
      <c r="E245" s="177"/>
      <c r="F245" s="177"/>
      <c r="G245" s="182"/>
      <c r="H245" s="182"/>
      <c r="I245" s="177"/>
      <c r="J245" s="149"/>
      <c r="K245" s="152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</row>
    <row r="246" spans="2:30" s="176" customFormat="1">
      <c r="B246" s="181"/>
      <c r="C246" s="181"/>
      <c r="D246" s="181"/>
      <c r="E246" s="177"/>
      <c r="F246" s="177"/>
      <c r="G246" s="182"/>
      <c r="H246" s="182"/>
      <c r="I246" s="177"/>
      <c r="J246" s="149"/>
      <c r="K246" s="152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</row>
    <row r="247" spans="2:30" s="176" customFormat="1">
      <c r="B247" s="181"/>
      <c r="C247" s="181"/>
      <c r="D247" s="181"/>
      <c r="E247" s="177"/>
      <c r="F247" s="177"/>
      <c r="G247" s="182"/>
      <c r="H247" s="182"/>
      <c r="I247" s="177"/>
      <c r="J247" s="149"/>
      <c r="K247" s="152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</row>
    <row r="248" spans="2:30" s="176" customFormat="1">
      <c r="B248" s="181"/>
      <c r="C248" s="181"/>
      <c r="D248" s="181"/>
      <c r="E248" s="177"/>
      <c r="F248" s="177"/>
      <c r="G248" s="182"/>
      <c r="H248" s="182"/>
      <c r="I248" s="177"/>
      <c r="J248" s="149"/>
      <c r="K248" s="152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</row>
    <row r="249" spans="2:30" s="176" customFormat="1">
      <c r="B249" s="181"/>
      <c r="C249" s="181"/>
      <c r="D249" s="181"/>
      <c r="E249" s="177"/>
      <c r="F249" s="177"/>
      <c r="G249" s="182"/>
      <c r="H249" s="182"/>
      <c r="I249" s="177"/>
      <c r="J249" s="149"/>
      <c r="K249" s="152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</row>
    <row r="250" spans="2:30" s="176" customFormat="1">
      <c r="B250" s="181"/>
      <c r="C250" s="181"/>
      <c r="D250" s="181"/>
      <c r="E250" s="177"/>
      <c r="F250" s="177"/>
      <c r="G250" s="182"/>
      <c r="H250" s="182"/>
      <c r="I250" s="177"/>
      <c r="J250" s="149"/>
      <c r="K250" s="152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</row>
    <row r="251" spans="2:30" s="176" customFormat="1">
      <c r="B251" s="181"/>
      <c r="C251" s="181"/>
      <c r="D251" s="181"/>
      <c r="E251" s="177"/>
      <c r="F251" s="177"/>
      <c r="G251" s="182"/>
      <c r="H251" s="182"/>
      <c r="I251" s="177"/>
      <c r="J251" s="149"/>
      <c r="K251" s="152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</row>
    <row r="252" spans="2:30" s="176" customFormat="1">
      <c r="B252" s="181"/>
      <c r="C252" s="181"/>
      <c r="D252" s="181"/>
      <c r="E252" s="177"/>
      <c r="F252" s="177"/>
      <c r="G252" s="182"/>
      <c r="H252" s="182"/>
      <c r="I252" s="177"/>
      <c r="J252" s="149"/>
      <c r="K252" s="152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</row>
    <row r="253" spans="2:30" s="176" customFormat="1">
      <c r="B253" s="181"/>
      <c r="C253" s="181"/>
      <c r="D253" s="181"/>
      <c r="E253" s="177"/>
      <c r="F253" s="177"/>
      <c r="G253" s="182"/>
      <c r="H253" s="182"/>
      <c r="I253" s="177"/>
      <c r="J253" s="149"/>
      <c r="K253" s="152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</row>
    <row r="254" spans="2:30" s="176" customFormat="1">
      <c r="B254" s="181"/>
      <c r="C254" s="181"/>
      <c r="D254" s="181"/>
      <c r="E254" s="177"/>
      <c r="F254" s="177"/>
      <c r="G254" s="182"/>
      <c r="H254" s="182"/>
      <c r="I254" s="177"/>
      <c r="J254" s="149"/>
      <c r="K254" s="152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</row>
    <row r="255" spans="2:30" s="176" customFormat="1">
      <c r="B255" s="181"/>
      <c r="C255" s="181"/>
      <c r="D255" s="181"/>
      <c r="E255" s="177"/>
      <c r="F255" s="177"/>
      <c r="G255" s="182"/>
      <c r="H255" s="182"/>
      <c r="I255" s="177"/>
      <c r="J255" s="149"/>
      <c r="K255" s="152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</row>
    <row r="256" spans="2:30" s="176" customFormat="1">
      <c r="B256" s="181"/>
      <c r="C256" s="181"/>
      <c r="D256" s="181"/>
      <c r="E256" s="177"/>
      <c r="F256" s="177"/>
      <c r="G256" s="182"/>
      <c r="H256" s="182"/>
      <c r="I256" s="177"/>
      <c r="J256" s="149"/>
      <c r="K256" s="152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</row>
    <row r="257" spans="2:30" s="176" customFormat="1">
      <c r="B257" s="181"/>
      <c r="C257" s="181"/>
      <c r="D257" s="181"/>
      <c r="E257" s="177"/>
      <c r="F257" s="177"/>
      <c r="G257" s="182"/>
      <c r="H257" s="182"/>
      <c r="I257" s="177"/>
      <c r="J257" s="149"/>
      <c r="K257" s="152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</row>
    <row r="258" spans="2:30" s="176" customFormat="1">
      <c r="B258" s="181"/>
      <c r="C258" s="181"/>
      <c r="D258" s="181"/>
      <c r="E258" s="177"/>
      <c r="F258" s="177"/>
      <c r="G258" s="182"/>
      <c r="H258" s="182"/>
      <c r="I258" s="177"/>
      <c r="J258" s="149"/>
      <c r="K258" s="152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</row>
    <row r="259" spans="2:30" s="176" customFormat="1">
      <c r="B259" s="181"/>
      <c r="C259" s="181"/>
      <c r="D259" s="181"/>
      <c r="E259" s="177"/>
      <c r="F259" s="177"/>
      <c r="G259" s="182"/>
      <c r="H259" s="182"/>
      <c r="I259" s="177"/>
      <c r="J259" s="149"/>
      <c r="K259" s="152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</row>
    <row r="260" spans="2:30" s="176" customFormat="1">
      <c r="B260" s="181"/>
      <c r="C260" s="181"/>
      <c r="D260" s="181"/>
      <c r="E260" s="177"/>
      <c r="F260" s="177"/>
      <c r="G260" s="182"/>
      <c r="H260" s="182"/>
      <c r="I260" s="177"/>
      <c r="J260" s="149"/>
      <c r="K260" s="152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</row>
    <row r="261" spans="2:30" s="176" customFormat="1">
      <c r="B261" s="181"/>
      <c r="C261" s="181"/>
      <c r="D261" s="181"/>
      <c r="E261" s="177"/>
      <c r="F261" s="177"/>
      <c r="G261" s="182"/>
      <c r="H261" s="182"/>
      <c r="I261" s="177"/>
      <c r="J261" s="149"/>
      <c r="K261" s="152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</row>
    <row r="262" spans="2:30" s="176" customFormat="1">
      <c r="B262" s="181"/>
      <c r="C262" s="181"/>
      <c r="D262" s="181"/>
      <c r="E262" s="177"/>
      <c r="F262" s="177"/>
      <c r="G262" s="182"/>
      <c r="H262" s="182"/>
      <c r="I262" s="177"/>
      <c r="J262" s="149"/>
      <c r="K262" s="152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</row>
    <row r="263" spans="2:30" s="176" customFormat="1">
      <c r="B263" s="181"/>
      <c r="C263" s="181"/>
      <c r="D263" s="181"/>
      <c r="E263" s="177"/>
      <c r="F263" s="177"/>
      <c r="G263" s="182"/>
      <c r="H263" s="182"/>
      <c r="I263" s="177"/>
      <c r="J263" s="149"/>
      <c r="K263" s="152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</row>
    <row r="264" spans="2:30" s="176" customFormat="1">
      <c r="B264" s="181"/>
      <c r="C264" s="181"/>
      <c r="D264" s="181"/>
      <c r="E264" s="177"/>
      <c r="F264" s="177"/>
      <c r="G264" s="182"/>
      <c r="H264" s="182"/>
      <c r="I264" s="177"/>
      <c r="J264" s="149"/>
      <c r="K264" s="152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</row>
    <row r="265" spans="2:30" s="176" customFormat="1">
      <c r="B265" s="181"/>
      <c r="C265" s="181"/>
      <c r="D265" s="181"/>
      <c r="E265" s="177"/>
      <c r="F265" s="177"/>
      <c r="G265" s="182"/>
      <c r="H265" s="182"/>
      <c r="I265" s="177"/>
      <c r="J265" s="149"/>
      <c r="K265" s="152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</row>
    <row r="266" spans="2:30" s="176" customFormat="1">
      <c r="B266" s="181"/>
      <c r="C266" s="181"/>
      <c r="D266" s="181"/>
      <c r="E266" s="177"/>
      <c r="F266" s="177"/>
      <c r="G266" s="182"/>
      <c r="H266" s="182"/>
      <c r="I266" s="177"/>
      <c r="J266" s="149"/>
      <c r="K266" s="152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</row>
    <row r="267" spans="2:30" s="176" customFormat="1">
      <c r="B267" s="181"/>
      <c r="C267" s="181"/>
      <c r="D267" s="181"/>
      <c r="E267" s="177"/>
      <c r="F267" s="177"/>
      <c r="G267" s="182"/>
      <c r="H267" s="182"/>
      <c r="I267" s="177"/>
      <c r="J267" s="149"/>
      <c r="K267" s="152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</row>
    <row r="268" spans="2:30" s="176" customFormat="1">
      <c r="B268" s="181"/>
      <c r="C268" s="181"/>
      <c r="D268" s="181"/>
      <c r="E268" s="177"/>
      <c r="F268" s="177"/>
      <c r="G268" s="182"/>
      <c r="H268" s="182"/>
      <c r="I268" s="177"/>
      <c r="J268" s="149"/>
      <c r="K268" s="152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</row>
    <row r="269" spans="2:30" s="176" customFormat="1">
      <c r="B269" s="181"/>
      <c r="C269" s="181"/>
      <c r="D269" s="181"/>
      <c r="E269" s="177"/>
      <c r="F269" s="177"/>
      <c r="G269" s="182"/>
      <c r="H269" s="182"/>
      <c r="I269" s="177"/>
      <c r="J269" s="149"/>
      <c r="K269" s="152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</row>
    <row r="270" spans="2:30" s="176" customFormat="1">
      <c r="B270" s="181"/>
      <c r="C270" s="181"/>
      <c r="D270" s="181"/>
      <c r="E270" s="177"/>
      <c r="F270" s="177"/>
      <c r="G270" s="182"/>
      <c r="H270" s="182"/>
      <c r="I270" s="177"/>
      <c r="J270" s="149"/>
      <c r="K270" s="152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</row>
    <row r="271" spans="2:30" s="176" customFormat="1">
      <c r="B271" s="181"/>
      <c r="C271" s="181"/>
      <c r="D271" s="181"/>
      <c r="E271" s="177"/>
      <c r="F271" s="177"/>
      <c r="G271" s="182"/>
      <c r="H271" s="182"/>
      <c r="I271" s="177"/>
      <c r="J271" s="149"/>
      <c r="K271" s="152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</row>
    <row r="272" spans="2:30" s="176" customFormat="1">
      <c r="B272" s="181"/>
      <c r="C272" s="181"/>
      <c r="D272" s="181"/>
      <c r="E272" s="177"/>
      <c r="F272" s="177"/>
      <c r="G272" s="182"/>
      <c r="H272" s="182"/>
      <c r="I272" s="177"/>
      <c r="J272" s="149"/>
      <c r="K272" s="152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</row>
    <row r="273" spans="2:30" s="176" customFormat="1">
      <c r="B273" s="181"/>
      <c r="C273" s="181"/>
      <c r="D273" s="181"/>
      <c r="E273" s="177"/>
      <c r="F273" s="177"/>
      <c r="G273" s="182"/>
      <c r="H273" s="182"/>
      <c r="I273" s="177"/>
      <c r="J273" s="149"/>
      <c r="K273" s="152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</row>
    <row r="274" spans="2:30" s="176" customFormat="1">
      <c r="B274" s="181"/>
      <c r="C274" s="181"/>
      <c r="D274" s="181"/>
      <c r="E274" s="177"/>
      <c r="F274" s="177"/>
      <c r="G274" s="182"/>
      <c r="H274" s="182"/>
      <c r="I274" s="177"/>
      <c r="J274" s="149"/>
      <c r="K274" s="152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</row>
    <row r="275" spans="2:30" s="176" customFormat="1">
      <c r="B275" s="181"/>
      <c r="C275" s="181"/>
      <c r="D275" s="181"/>
      <c r="E275" s="177"/>
      <c r="F275" s="177"/>
      <c r="G275" s="182"/>
      <c r="H275" s="182"/>
      <c r="I275" s="177"/>
      <c r="J275" s="149"/>
      <c r="K275" s="152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</row>
    <row r="276" spans="2:30" s="176" customFormat="1">
      <c r="B276" s="181"/>
      <c r="C276" s="181"/>
      <c r="D276" s="181"/>
      <c r="E276" s="177"/>
      <c r="F276" s="177"/>
      <c r="G276" s="182"/>
      <c r="H276" s="182"/>
      <c r="I276" s="177"/>
      <c r="J276" s="149"/>
      <c r="K276" s="152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</row>
    <row r="277" spans="2:30" s="176" customFormat="1">
      <c r="B277" s="181"/>
      <c r="C277" s="181"/>
      <c r="D277" s="181"/>
      <c r="E277" s="177"/>
      <c r="F277" s="177"/>
      <c r="G277" s="182"/>
      <c r="H277" s="182"/>
      <c r="I277" s="177"/>
      <c r="J277" s="149"/>
      <c r="K277" s="152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</row>
    <row r="278" spans="2:30" s="176" customFormat="1">
      <c r="B278" s="181"/>
      <c r="C278" s="181"/>
      <c r="D278" s="181"/>
      <c r="E278" s="177"/>
      <c r="F278" s="177"/>
      <c r="G278" s="182"/>
      <c r="H278" s="182"/>
      <c r="I278" s="177"/>
      <c r="J278" s="149"/>
      <c r="K278" s="152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</row>
    <row r="279" spans="2:30" s="176" customFormat="1">
      <c r="B279" s="181"/>
      <c r="C279" s="181"/>
      <c r="D279" s="181"/>
      <c r="E279" s="177"/>
      <c r="F279" s="177"/>
      <c r="G279" s="182"/>
      <c r="H279" s="182"/>
      <c r="I279" s="177"/>
      <c r="J279" s="149"/>
      <c r="K279" s="152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</row>
    <row r="280" spans="2:30" s="176" customFormat="1">
      <c r="B280" s="181"/>
      <c r="C280" s="181"/>
      <c r="D280" s="181"/>
      <c r="E280" s="177"/>
      <c r="F280" s="177"/>
      <c r="G280" s="182"/>
      <c r="H280" s="182"/>
      <c r="I280" s="177"/>
      <c r="J280" s="149"/>
      <c r="K280" s="152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</row>
    <row r="281" spans="2:30" s="176" customFormat="1">
      <c r="B281" s="181"/>
      <c r="C281" s="181"/>
      <c r="D281" s="181"/>
      <c r="E281" s="177"/>
      <c r="F281" s="177"/>
      <c r="G281" s="182"/>
      <c r="H281" s="182"/>
      <c r="I281" s="177"/>
      <c r="J281" s="149"/>
      <c r="K281" s="152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</row>
    <row r="282" spans="2:30" s="176" customFormat="1">
      <c r="B282" s="181"/>
      <c r="C282" s="181"/>
      <c r="D282" s="181"/>
      <c r="E282" s="177"/>
      <c r="F282" s="177"/>
      <c r="G282" s="182"/>
      <c r="H282" s="182"/>
      <c r="I282" s="177"/>
      <c r="J282" s="149"/>
      <c r="K282" s="152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</row>
    <row r="283" spans="2:30" s="176" customFormat="1">
      <c r="B283" s="181"/>
      <c r="C283" s="181"/>
      <c r="D283" s="181"/>
      <c r="E283" s="177"/>
      <c r="F283" s="177"/>
      <c r="G283" s="182"/>
      <c r="H283" s="182"/>
      <c r="I283" s="177"/>
      <c r="J283" s="149"/>
      <c r="K283" s="152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</row>
    <row r="284" spans="2:30" s="176" customFormat="1">
      <c r="B284" s="181"/>
      <c r="C284" s="181"/>
      <c r="D284" s="181"/>
      <c r="E284" s="177"/>
      <c r="F284" s="177"/>
      <c r="G284" s="182"/>
      <c r="H284" s="182"/>
      <c r="I284" s="177"/>
      <c r="J284" s="149"/>
      <c r="K284" s="152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</row>
    <row r="285" spans="2:30" s="176" customFormat="1">
      <c r="B285" s="181"/>
      <c r="C285" s="181"/>
      <c r="D285" s="181"/>
      <c r="E285" s="177"/>
      <c r="F285" s="177"/>
      <c r="G285" s="182"/>
      <c r="H285" s="182"/>
      <c r="I285" s="177"/>
      <c r="J285" s="149"/>
      <c r="K285" s="152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</row>
    <row r="286" spans="2:30" s="176" customFormat="1">
      <c r="B286" s="181"/>
      <c r="C286" s="181"/>
      <c r="D286" s="181"/>
      <c r="E286" s="177"/>
      <c r="F286" s="177"/>
      <c r="G286" s="182"/>
      <c r="H286" s="182"/>
      <c r="I286" s="177"/>
      <c r="J286" s="149"/>
      <c r="K286" s="152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</row>
    <row r="287" spans="2:30" s="176" customFormat="1">
      <c r="B287" s="181"/>
      <c r="C287" s="181"/>
      <c r="D287" s="181"/>
      <c r="E287" s="177"/>
      <c r="F287" s="177"/>
      <c r="G287" s="182"/>
      <c r="H287" s="182"/>
      <c r="I287" s="177"/>
      <c r="J287" s="149"/>
      <c r="K287" s="152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</row>
    <row r="288" spans="2:30" s="176" customFormat="1">
      <c r="B288" s="181"/>
      <c r="C288" s="181"/>
      <c r="D288" s="181"/>
      <c r="E288" s="177"/>
      <c r="F288" s="177"/>
      <c r="G288" s="182"/>
      <c r="H288" s="182"/>
      <c r="I288" s="177"/>
      <c r="J288" s="149"/>
      <c r="K288" s="152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</row>
    <row r="289" spans="2:30" s="176" customFormat="1">
      <c r="B289" s="181"/>
      <c r="C289" s="181"/>
      <c r="D289" s="181"/>
      <c r="E289" s="177"/>
      <c r="F289" s="177"/>
      <c r="G289" s="182"/>
      <c r="H289" s="182"/>
      <c r="I289" s="177"/>
      <c r="J289" s="149"/>
      <c r="K289" s="152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</row>
    <row r="290" spans="2:30" s="176" customFormat="1">
      <c r="B290" s="181"/>
      <c r="C290" s="181"/>
      <c r="D290" s="181"/>
      <c r="E290" s="177"/>
      <c r="F290" s="177"/>
      <c r="G290" s="182"/>
      <c r="H290" s="182"/>
      <c r="I290" s="177"/>
      <c r="J290" s="149"/>
      <c r="K290" s="152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</row>
    <row r="291" spans="2:30" s="176" customFormat="1">
      <c r="B291" s="181"/>
      <c r="C291" s="181"/>
      <c r="D291" s="181"/>
      <c r="E291" s="177"/>
      <c r="F291" s="177"/>
      <c r="G291" s="182"/>
      <c r="H291" s="182"/>
      <c r="I291" s="177"/>
      <c r="J291" s="149"/>
      <c r="K291" s="152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</row>
    <row r="292" spans="2:30" s="176" customFormat="1">
      <c r="B292" s="181"/>
      <c r="C292" s="181"/>
      <c r="D292" s="181"/>
      <c r="E292" s="177"/>
      <c r="F292" s="177"/>
      <c r="G292" s="182"/>
      <c r="H292" s="182"/>
      <c r="I292" s="177"/>
      <c r="J292" s="149"/>
      <c r="K292" s="152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</row>
    <row r="293" spans="2:30" s="176" customFormat="1">
      <c r="B293" s="181"/>
      <c r="C293" s="181"/>
      <c r="D293" s="181"/>
      <c r="E293" s="177"/>
      <c r="F293" s="177"/>
      <c r="G293" s="182"/>
      <c r="H293" s="182"/>
      <c r="I293" s="177"/>
      <c r="J293" s="149"/>
      <c r="K293" s="152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</row>
    <row r="294" spans="2:30" s="176" customFormat="1">
      <c r="B294" s="181"/>
      <c r="C294" s="181"/>
      <c r="D294" s="181"/>
      <c r="E294" s="177"/>
      <c r="F294" s="177"/>
      <c r="G294" s="182"/>
      <c r="H294" s="182"/>
      <c r="I294" s="177"/>
      <c r="J294" s="149"/>
      <c r="K294" s="152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</row>
    <row r="295" spans="2:30" s="176" customFormat="1">
      <c r="B295" s="181"/>
      <c r="C295" s="181"/>
      <c r="D295" s="181"/>
      <c r="E295" s="177"/>
      <c r="F295" s="177"/>
      <c r="G295" s="182"/>
      <c r="H295" s="182"/>
      <c r="I295" s="177"/>
      <c r="J295" s="149"/>
      <c r="K295" s="152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</row>
    <row r="296" spans="2:30" s="176" customFormat="1">
      <c r="B296" s="181"/>
      <c r="C296" s="181"/>
      <c r="D296" s="181"/>
      <c r="E296" s="177"/>
      <c r="F296" s="177"/>
      <c r="G296" s="182"/>
      <c r="H296" s="182"/>
      <c r="I296" s="177"/>
      <c r="J296" s="149"/>
      <c r="K296" s="152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</row>
    <row r="297" spans="2:30" s="176" customFormat="1">
      <c r="B297" s="181"/>
      <c r="C297" s="181"/>
      <c r="D297" s="181"/>
      <c r="E297" s="177"/>
      <c r="F297" s="177"/>
      <c r="G297" s="182"/>
      <c r="H297" s="182"/>
      <c r="I297" s="177"/>
      <c r="J297" s="149"/>
      <c r="K297" s="152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</row>
    <row r="298" spans="2:30" s="176" customFormat="1">
      <c r="B298" s="181"/>
      <c r="C298" s="181"/>
      <c r="D298" s="181"/>
      <c r="E298" s="177"/>
      <c r="F298" s="177"/>
      <c r="G298" s="182"/>
      <c r="H298" s="182"/>
      <c r="I298" s="177"/>
      <c r="J298" s="149"/>
      <c r="K298" s="152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</row>
    <row r="299" spans="2:30" s="176" customFormat="1">
      <c r="B299" s="181"/>
      <c r="C299" s="181"/>
      <c r="D299" s="181"/>
      <c r="E299" s="177"/>
      <c r="F299" s="177"/>
      <c r="G299" s="182"/>
      <c r="H299" s="182"/>
      <c r="I299" s="177"/>
      <c r="J299" s="149"/>
      <c r="K299" s="152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</row>
    <row r="300" spans="2:30" s="176" customFormat="1">
      <c r="B300" s="181"/>
      <c r="C300" s="181"/>
      <c r="D300" s="181"/>
      <c r="E300" s="177"/>
      <c r="F300" s="177"/>
      <c r="G300" s="182"/>
      <c r="H300" s="182"/>
      <c r="I300" s="177"/>
      <c r="J300" s="149"/>
      <c r="K300" s="152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</row>
    <row r="301" spans="2:30" s="176" customFormat="1">
      <c r="B301" s="181"/>
      <c r="C301" s="181"/>
      <c r="D301" s="181"/>
      <c r="E301" s="177"/>
      <c r="F301" s="177"/>
      <c r="G301" s="182"/>
      <c r="H301" s="182"/>
      <c r="I301" s="177"/>
      <c r="J301" s="149"/>
      <c r="K301" s="152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</row>
    <row r="302" spans="2:30" s="176" customFormat="1">
      <c r="B302" s="181"/>
      <c r="C302" s="181"/>
      <c r="D302" s="181"/>
      <c r="E302" s="177"/>
      <c r="F302" s="177"/>
      <c r="G302" s="182"/>
      <c r="H302" s="182"/>
      <c r="I302" s="177"/>
      <c r="J302" s="149"/>
      <c r="K302" s="152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</row>
    <row r="303" spans="2:30" s="176" customFormat="1">
      <c r="B303" s="181"/>
      <c r="C303" s="181"/>
      <c r="D303" s="181"/>
      <c r="E303" s="177"/>
      <c r="F303" s="177"/>
      <c r="G303" s="182"/>
      <c r="H303" s="182"/>
      <c r="I303" s="177"/>
      <c r="J303" s="149"/>
      <c r="K303" s="152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</row>
    <row r="304" spans="2:30" s="176" customFormat="1">
      <c r="B304" s="181"/>
      <c r="C304" s="181"/>
      <c r="D304" s="181"/>
      <c r="E304" s="177"/>
      <c r="F304" s="177"/>
      <c r="G304" s="182"/>
      <c r="H304" s="182"/>
      <c r="I304" s="177"/>
      <c r="J304" s="149"/>
      <c r="K304" s="152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</row>
    <row r="305" spans="2:30" s="176" customFormat="1">
      <c r="B305" s="181"/>
      <c r="C305" s="181"/>
      <c r="D305" s="181"/>
      <c r="E305" s="177"/>
      <c r="F305" s="177"/>
      <c r="G305" s="182"/>
      <c r="H305" s="182"/>
      <c r="I305" s="177"/>
      <c r="J305" s="149"/>
      <c r="K305" s="152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</row>
    <row r="306" spans="2:30" s="176" customFormat="1">
      <c r="B306" s="181"/>
      <c r="C306" s="181"/>
      <c r="D306" s="181"/>
      <c r="E306" s="177"/>
      <c r="F306" s="177"/>
      <c r="G306" s="182"/>
      <c r="H306" s="182"/>
      <c r="I306" s="177"/>
      <c r="J306" s="149"/>
      <c r="K306" s="152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</row>
    <row r="307" spans="2:30" s="176" customFormat="1">
      <c r="B307" s="181"/>
      <c r="C307" s="181"/>
      <c r="D307" s="181"/>
      <c r="E307" s="177"/>
      <c r="F307" s="177"/>
      <c r="G307" s="182"/>
      <c r="H307" s="182"/>
      <c r="I307" s="177"/>
      <c r="J307" s="149"/>
      <c r="K307" s="152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</row>
    <row r="308" spans="2:30">
      <c r="E308" s="152"/>
      <c r="F308" s="152"/>
      <c r="I308" s="152"/>
      <c r="K308" s="152"/>
    </row>
    <row r="309" spans="2:30">
      <c r="E309" s="152"/>
      <c r="F309" s="152"/>
      <c r="I309" s="152"/>
      <c r="K309" s="152"/>
    </row>
    <row r="310" spans="2:30">
      <c r="E310" s="152"/>
      <c r="F310" s="152"/>
      <c r="I310" s="152"/>
      <c r="K310" s="152"/>
    </row>
    <row r="311" spans="2:30">
      <c r="E311" s="152"/>
      <c r="F311" s="152"/>
      <c r="I311" s="152"/>
      <c r="K311" s="152"/>
    </row>
    <row r="312" spans="2:30">
      <c r="E312" s="152"/>
      <c r="F312" s="152"/>
      <c r="I312" s="152"/>
      <c r="K312" s="152"/>
    </row>
    <row r="313" spans="2:30">
      <c r="E313" s="152"/>
      <c r="F313" s="152"/>
      <c r="I313" s="152"/>
      <c r="K313" s="152"/>
    </row>
    <row r="314" spans="2:30">
      <c r="E314" s="152"/>
      <c r="F314" s="152"/>
      <c r="I314" s="152"/>
      <c r="K314" s="152"/>
    </row>
    <row r="315" spans="2:30">
      <c r="E315" s="152"/>
      <c r="F315" s="152"/>
      <c r="I315" s="152"/>
      <c r="K315" s="152"/>
    </row>
    <row r="316" spans="2:30">
      <c r="E316" s="152"/>
      <c r="F316" s="152"/>
      <c r="I316" s="152"/>
      <c r="K316" s="152"/>
    </row>
    <row r="317" spans="2:30">
      <c r="E317" s="152"/>
      <c r="F317" s="152"/>
      <c r="I317" s="152"/>
      <c r="K317" s="152"/>
    </row>
    <row r="318" spans="2:30">
      <c r="E318" s="152"/>
      <c r="F318" s="152"/>
      <c r="I318" s="152"/>
      <c r="K318" s="152"/>
    </row>
    <row r="319" spans="2:30">
      <c r="E319" s="152"/>
      <c r="F319" s="152"/>
      <c r="I319" s="152"/>
      <c r="K319" s="152"/>
    </row>
    <row r="320" spans="2:30">
      <c r="E320" s="152"/>
      <c r="F320" s="152"/>
      <c r="I320" s="152"/>
      <c r="K320" s="152"/>
    </row>
    <row r="321" spans="5:11">
      <c r="E321" s="152"/>
      <c r="F321" s="152"/>
      <c r="I321" s="152"/>
      <c r="K321" s="152"/>
    </row>
    <row r="322" spans="5:11">
      <c r="E322" s="152"/>
      <c r="F322" s="152"/>
      <c r="I322" s="152"/>
      <c r="K322" s="152"/>
    </row>
    <row r="323" spans="5:11">
      <c r="E323" s="152"/>
      <c r="F323" s="152"/>
      <c r="I323" s="152"/>
      <c r="K323" s="152"/>
    </row>
    <row r="324" spans="5:11">
      <c r="E324" s="152"/>
      <c r="F324" s="152"/>
      <c r="I324" s="152"/>
      <c r="K324" s="152"/>
    </row>
    <row r="325" spans="5:11">
      <c r="E325" s="152"/>
      <c r="F325" s="152"/>
      <c r="I325" s="152"/>
      <c r="K325" s="152"/>
    </row>
    <row r="326" spans="5:11">
      <c r="E326" s="152"/>
      <c r="F326" s="152"/>
      <c r="I326" s="152"/>
      <c r="K326" s="152"/>
    </row>
    <row r="327" spans="5:11">
      <c r="E327" s="152"/>
      <c r="F327" s="152"/>
      <c r="I327" s="152"/>
      <c r="K327" s="152"/>
    </row>
    <row r="328" spans="5:11">
      <c r="E328" s="152"/>
      <c r="F328" s="152"/>
      <c r="I328" s="152"/>
      <c r="K328" s="152"/>
    </row>
    <row r="329" spans="5:11">
      <c r="E329" s="152"/>
      <c r="F329" s="152"/>
      <c r="I329" s="152"/>
      <c r="K329" s="152"/>
    </row>
    <row r="330" spans="5:11">
      <c r="E330" s="152"/>
      <c r="F330" s="152"/>
      <c r="I330" s="152"/>
      <c r="K330" s="152"/>
    </row>
    <row r="331" spans="5:11">
      <c r="E331" s="152"/>
      <c r="F331" s="152"/>
      <c r="I331" s="152"/>
      <c r="K331" s="152"/>
    </row>
    <row r="332" spans="5:11">
      <c r="E332" s="152"/>
      <c r="F332" s="152"/>
      <c r="I332" s="152"/>
      <c r="K332" s="152"/>
    </row>
    <row r="333" spans="5:11">
      <c r="E333" s="152"/>
      <c r="F333" s="152"/>
      <c r="I333" s="152"/>
      <c r="K333" s="152"/>
    </row>
    <row r="334" spans="5:11">
      <c r="E334" s="152"/>
      <c r="F334" s="152"/>
      <c r="I334" s="152"/>
      <c r="K334" s="152"/>
    </row>
    <row r="335" spans="5:11">
      <c r="E335" s="152"/>
      <c r="F335" s="152"/>
      <c r="I335" s="152"/>
      <c r="K335" s="152"/>
    </row>
    <row r="336" spans="5:11">
      <c r="E336" s="152"/>
      <c r="F336" s="152"/>
      <c r="I336" s="152"/>
      <c r="K336" s="152"/>
    </row>
    <row r="337" spans="5:11">
      <c r="E337" s="152"/>
      <c r="F337" s="152"/>
      <c r="I337" s="152"/>
      <c r="K337" s="152"/>
    </row>
    <row r="338" spans="5:11">
      <c r="E338" s="152"/>
      <c r="F338" s="152"/>
      <c r="I338" s="152"/>
      <c r="K338" s="152"/>
    </row>
    <row r="339" spans="5:11">
      <c r="E339" s="152"/>
      <c r="F339" s="152"/>
      <c r="I339" s="152"/>
      <c r="K339" s="152"/>
    </row>
    <row r="340" spans="5:11">
      <c r="E340" s="152"/>
      <c r="F340" s="152"/>
      <c r="I340" s="152"/>
      <c r="K340" s="152"/>
    </row>
    <row r="341" spans="5:11">
      <c r="E341" s="152"/>
      <c r="F341" s="152"/>
      <c r="I341" s="152"/>
      <c r="K341" s="152"/>
    </row>
    <row r="342" spans="5:11">
      <c r="E342" s="152"/>
      <c r="F342" s="152"/>
      <c r="I342" s="152"/>
      <c r="K342" s="152"/>
    </row>
    <row r="343" spans="5:11">
      <c r="E343" s="152"/>
      <c r="F343" s="152"/>
      <c r="I343" s="152"/>
      <c r="K343" s="152"/>
    </row>
    <row r="344" spans="5:11">
      <c r="E344" s="152"/>
      <c r="F344" s="152"/>
      <c r="I344" s="152"/>
      <c r="K344" s="152"/>
    </row>
    <row r="345" spans="5:11">
      <c r="E345" s="152"/>
      <c r="F345" s="152"/>
      <c r="I345" s="152"/>
      <c r="K345" s="152"/>
    </row>
    <row r="346" spans="5:11">
      <c r="E346" s="152"/>
      <c r="F346" s="152"/>
      <c r="I346" s="152"/>
      <c r="K346" s="152"/>
    </row>
    <row r="347" spans="5:11">
      <c r="E347" s="152"/>
      <c r="F347" s="152"/>
      <c r="I347" s="152"/>
      <c r="K347" s="152"/>
    </row>
    <row r="348" spans="5:11">
      <c r="E348" s="152"/>
      <c r="F348" s="152"/>
      <c r="I348" s="152"/>
      <c r="K348" s="152"/>
    </row>
    <row r="349" spans="5:11">
      <c r="E349" s="152"/>
      <c r="F349" s="152"/>
      <c r="I349" s="152"/>
      <c r="K349" s="152"/>
    </row>
    <row r="350" spans="5:11">
      <c r="E350" s="152"/>
      <c r="F350" s="152"/>
      <c r="I350" s="152"/>
      <c r="K350" s="152"/>
    </row>
    <row r="351" spans="5:11">
      <c r="E351" s="152"/>
      <c r="F351" s="152"/>
      <c r="I351" s="152"/>
      <c r="K351" s="152"/>
    </row>
    <row r="352" spans="5:11">
      <c r="E352" s="152"/>
      <c r="F352" s="152"/>
      <c r="I352" s="152"/>
      <c r="K352" s="152"/>
    </row>
    <row r="353" spans="5:11">
      <c r="E353" s="152"/>
      <c r="F353" s="152"/>
      <c r="I353" s="152"/>
      <c r="K353" s="152"/>
    </row>
    <row r="354" spans="5:11">
      <c r="E354" s="152"/>
      <c r="F354" s="152"/>
      <c r="I354" s="152"/>
      <c r="K354" s="152"/>
    </row>
    <row r="355" spans="5:11">
      <c r="E355" s="152"/>
      <c r="F355" s="152"/>
      <c r="I355" s="152"/>
      <c r="K355" s="152"/>
    </row>
    <row r="356" spans="5:11">
      <c r="E356" s="152"/>
      <c r="F356" s="152"/>
      <c r="I356" s="152"/>
      <c r="K356" s="152"/>
    </row>
    <row r="357" spans="5:11">
      <c r="E357" s="152"/>
      <c r="F357" s="152"/>
      <c r="I357" s="152"/>
      <c r="K357" s="152"/>
    </row>
    <row r="358" spans="5:11">
      <c r="E358" s="152"/>
      <c r="F358" s="152"/>
      <c r="I358" s="152"/>
      <c r="K358" s="152"/>
    </row>
    <row r="359" spans="5:11">
      <c r="E359" s="152"/>
      <c r="F359" s="152"/>
      <c r="I359" s="152"/>
      <c r="K359" s="152"/>
    </row>
    <row r="360" spans="5:11">
      <c r="E360" s="152"/>
      <c r="F360" s="152"/>
      <c r="I360" s="152"/>
      <c r="K360" s="152"/>
    </row>
    <row r="361" spans="5:11">
      <c r="E361" s="152"/>
      <c r="F361" s="152"/>
      <c r="I361" s="152"/>
      <c r="K361" s="152"/>
    </row>
    <row r="362" spans="5:11">
      <c r="E362" s="152"/>
      <c r="F362" s="152"/>
      <c r="I362" s="152"/>
      <c r="K362" s="152"/>
    </row>
    <row r="363" spans="5:11">
      <c r="E363" s="152"/>
      <c r="F363" s="152"/>
      <c r="I363" s="152"/>
      <c r="K363" s="152"/>
    </row>
    <row r="364" spans="5:11">
      <c r="E364" s="152"/>
      <c r="F364" s="152"/>
      <c r="I364" s="152"/>
      <c r="K364" s="152"/>
    </row>
    <row r="365" spans="5:11">
      <c r="E365" s="152"/>
      <c r="F365" s="152"/>
      <c r="I365" s="152"/>
      <c r="K365" s="152"/>
    </row>
    <row r="366" spans="5:11">
      <c r="E366" s="152"/>
      <c r="F366" s="152"/>
      <c r="I366" s="152"/>
      <c r="K366" s="152"/>
    </row>
    <row r="367" spans="5:11">
      <c r="E367" s="152"/>
      <c r="F367" s="152"/>
      <c r="I367" s="152"/>
      <c r="K367" s="152"/>
    </row>
    <row r="368" spans="5:11">
      <c r="E368" s="152"/>
      <c r="F368" s="152"/>
      <c r="I368" s="152"/>
      <c r="K368" s="152"/>
    </row>
    <row r="369" spans="5:11">
      <c r="E369" s="152"/>
      <c r="F369" s="152"/>
      <c r="I369" s="152"/>
      <c r="K369" s="152"/>
    </row>
    <row r="370" spans="5:11">
      <c r="E370" s="152"/>
      <c r="F370" s="152"/>
      <c r="I370" s="152"/>
      <c r="K370" s="152"/>
    </row>
    <row r="371" spans="5:11">
      <c r="E371" s="152"/>
      <c r="F371" s="152"/>
      <c r="I371" s="152"/>
      <c r="K371" s="152"/>
    </row>
    <row r="372" spans="5:11">
      <c r="E372" s="152"/>
      <c r="F372" s="152"/>
      <c r="I372" s="152"/>
      <c r="K372" s="152"/>
    </row>
    <row r="373" spans="5:11">
      <c r="E373" s="152"/>
      <c r="F373" s="152"/>
      <c r="I373" s="152"/>
      <c r="K373" s="152"/>
    </row>
    <row r="374" spans="5:11">
      <c r="E374" s="152"/>
      <c r="F374" s="152"/>
      <c r="I374" s="152"/>
      <c r="K374" s="152"/>
    </row>
    <row r="375" spans="5:11">
      <c r="E375" s="152"/>
      <c r="F375" s="152"/>
      <c r="I375" s="152"/>
      <c r="K375" s="152"/>
    </row>
    <row r="376" spans="5:11">
      <c r="E376" s="152"/>
      <c r="F376" s="152"/>
      <c r="I376" s="152"/>
      <c r="K376" s="152"/>
    </row>
    <row r="377" spans="5:11">
      <c r="E377" s="152"/>
      <c r="F377" s="152"/>
      <c r="I377" s="152"/>
      <c r="K377" s="152"/>
    </row>
    <row r="378" spans="5:11">
      <c r="E378" s="152"/>
      <c r="F378" s="152"/>
      <c r="I378" s="152"/>
      <c r="K378" s="152"/>
    </row>
    <row r="379" spans="5:11">
      <c r="E379" s="152"/>
      <c r="F379" s="152"/>
      <c r="I379" s="152"/>
      <c r="K379" s="152"/>
    </row>
    <row r="380" spans="5:11">
      <c r="E380" s="152"/>
      <c r="F380" s="152"/>
      <c r="I380" s="152"/>
      <c r="K380" s="152"/>
    </row>
    <row r="381" spans="5:11">
      <c r="E381" s="152"/>
      <c r="F381" s="152"/>
      <c r="I381" s="152"/>
      <c r="K381" s="152"/>
    </row>
    <row r="382" spans="5:11">
      <c r="E382" s="152"/>
      <c r="F382" s="152"/>
      <c r="I382" s="152"/>
      <c r="K382" s="152"/>
    </row>
    <row r="383" spans="5:11">
      <c r="E383" s="152"/>
      <c r="F383" s="152"/>
      <c r="I383" s="152"/>
      <c r="K383" s="152"/>
    </row>
    <row r="384" spans="5:11">
      <c r="E384" s="152"/>
      <c r="F384" s="152"/>
      <c r="I384" s="152"/>
      <c r="K384" s="152"/>
    </row>
    <row r="385" spans="5:11">
      <c r="E385" s="152"/>
      <c r="F385" s="152"/>
      <c r="I385" s="152"/>
      <c r="K385" s="152"/>
    </row>
    <row r="386" spans="5:11">
      <c r="E386" s="152"/>
      <c r="F386" s="152"/>
      <c r="I386" s="152"/>
      <c r="K386" s="152"/>
    </row>
    <row r="387" spans="5:11">
      <c r="E387" s="152"/>
      <c r="F387" s="152"/>
      <c r="I387" s="152"/>
      <c r="K387" s="152"/>
    </row>
    <row r="388" spans="5:11">
      <c r="E388" s="152"/>
      <c r="F388" s="152"/>
      <c r="I388" s="152"/>
      <c r="K388" s="152"/>
    </row>
    <row r="389" spans="5:11">
      <c r="E389" s="152"/>
      <c r="F389" s="152"/>
      <c r="I389" s="152"/>
      <c r="K389" s="152"/>
    </row>
    <row r="390" spans="5:11">
      <c r="E390" s="152"/>
      <c r="F390" s="152"/>
      <c r="I390" s="152"/>
      <c r="K390" s="152"/>
    </row>
    <row r="391" spans="5:11">
      <c r="E391" s="152"/>
      <c r="F391" s="152"/>
      <c r="I391" s="152"/>
      <c r="K391" s="152"/>
    </row>
    <row r="392" spans="5:11">
      <c r="E392" s="152"/>
      <c r="F392" s="152"/>
      <c r="I392" s="152"/>
      <c r="K392" s="152"/>
    </row>
    <row r="393" spans="5:11">
      <c r="E393" s="152"/>
      <c r="F393" s="152"/>
      <c r="I393" s="152"/>
      <c r="K393" s="152"/>
    </row>
    <row r="394" spans="5:11">
      <c r="E394" s="152"/>
      <c r="F394" s="152"/>
      <c r="I394" s="152"/>
      <c r="K394" s="152"/>
    </row>
    <row r="395" spans="5:11">
      <c r="E395" s="152"/>
      <c r="F395" s="152"/>
      <c r="I395" s="152"/>
      <c r="K395" s="152"/>
    </row>
    <row r="396" spans="5:11">
      <c r="E396" s="152"/>
      <c r="F396" s="152"/>
      <c r="I396" s="152"/>
      <c r="K396" s="152"/>
    </row>
    <row r="397" spans="5:11">
      <c r="E397" s="152"/>
      <c r="F397" s="152"/>
      <c r="I397" s="152"/>
      <c r="K397" s="152"/>
    </row>
    <row r="398" spans="5:11">
      <c r="E398" s="152"/>
      <c r="F398" s="152"/>
      <c r="I398" s="152"/>
      <c r="K398" s="152"/>
    </row>
    <row r="399" spans="5:11">
      <c r="E399" s="152"/>
      <c r="F399" s="152"/>
      <c r="I399" s="152"/>
      <c r="K399" s="152"/>
    </row>
    <row r="400" spans="5:11">
      <c r="E400" s="152"/>
      <c r="F400" s="152"/>
      <c r="I400" s="152"/>
      <c r="K400" s="152"/>
    </row>
    <row r="401" spans="5:11">
      <c r="E401" s="152"/>
      <c r="F401" s="152"/>
      <c r="I401" s="152"/>
      <c r="K401" s="152"/>
    </row>
    <row r="402" spans="5:11">
      <c r="E402" s="152"/>
      <c r="F402" s="152"/>
      <c r="I402" s="152"/>
      <c r="K402" s="152"/>
    </row>
    <row r="403" spans="5:11">
      <c r="E403" s="152"/>
      <c r="F403" s="152"/>
      <c r="I403" s="152"/>
      <c r="K403" s="152"/>
    </row>
    <row r="404" spans="5:11">
      <c r="E404" s="152"/>
      <c r="F404" s="152"/>
      <c r="I404" s="152"/>
      <c r="K404" s="152"/>
    </row>
    <row r="405" spans="5:11">
      <c r="E405" s="152"/>
      <c r="F405" s="152"/>
      <c r="I405" s="152"/>
      <c r="K405" s="152"/>
    </row>
    <row r="406" spans="5:11">
      <c r="E406" s="152"/>
      <c r="F406" s="152"/>
      <c r="I406" s="152"/>
      <c r="K406" s="152"/>
    </row>
    <row r="407" spans="5:11">
      <c r="E407" s="152"/>
      <c r="F407" s="152"/>
      <c r="I407" s="152"/>
      <c r="K407" s="152"/>
    </row>
    <row r="408" spans="5:11">
      <c r="E408" s="152"/>
      <c r="F408" s="152"/>
      <c r="I408" s="152"/>
      <c r="K408" s="152"/>
    </row>
    <row r="409" spans="5:11">
      <c r="E409" s="152"/>
      <c r="F409" s="152"/>
      <c r="I409" s="152"/>
      <c r="K409" s="152"/>
    </row>
    <row r="410" spans="5:11">
      <c r="E410" s="152"/>
      <c r="F410" s="152"/>
      <c r="I410" s="152"/>
      <c r="K410" s="152"/>
    </row>
    <row r="411" spans="5:11">
      <c r="E411" s="152"/>
      <c r="F411" s="152"/>
      <c r="I411" s="152"/>
      <c r="K411" s="152"/>
    </row>
    <row r="412" spans="5:11">
      <c r="E412" s="152"/>
      <c r="F412" s="152"/>
      <c r="I412" s="152"/>
      <c r="K412" s="152"/>
    </row>
    <row r="413" spans="5:11">
      <c r="E413" s="152"/>
      <c r="F413" s="152"/>
      <c r="I413" s="152"/>
      <c r="K413" s="152"/>
    </row>
    <row r="414" spans="5:11">
      <c r="E414" s="152"/>
      <c r="F414" s="152"/>
      <c r="I414" s="152"/>
      <c r="K414" s="152"/>
    </row>
    <row r="415" spans="5:11">
      <c r="E415" s="152"/>
      <c r="F415" s="152"/>
      <c r="I415" s="152"/>
      <c r="K415" s="152"/>
    </row>
    <row r="416" spans="5:11">
      <c r="E416" s="152"/>
      <c r="F416" s="152"/>
      <c r="I416" s="152"/>
      <c r="K416" s="152"/>
    </row>
    <row r="417" spans="5:11">
      <c r="E417" s="152"/>
      <c r="F417" s="152"/>
      <c r="I417" s="152"/>
      <c r="K417" s="152"/>
    </row>
    <row r="418" spans="5:11">
      <c r="E418" s="152"/>
      <c r="F418" s="152"/>
      <c r="I418" s="152"/>
      <c r="K418" s="152"/>
    </row>
    <row r="419" spans="5:11">
      <c r="E419" s="152"/>
      <c r="F419" s="152"/>
      <c r="I419" s="152"/>
      <c r="K419" s="152"/>
    </row>
    <row r="420" spans="5:11">
      <c r="E420" s="152"/>
      <c r="F420" s="152"/>
      <c r="I420" s="152"/>
      <c r="K420" s="152"/>
    </row>
    <row r="421" spans="5:11">
      <c r="E421" s="152"/>
      <c r="F421" s="152"/>
      <c r="I421" s="152"/>
      <c r="K421" s="152"/>
    </row>
    <row r="422" spans="5:11">
      <c r="E422" s="152"/>
      <c r="F422" s="152"/>
      <c r="I422" s="152"/>
      <c r="K422" s="152"/>
    </row>
    <row r="423" spans="5:11">
      <c r="E423" s="152"/>
      <c r="F423" s="152"/>
      <c r="I423" s="152"/>
      <c r="K423" s="152"/>
    </row>
    <row r="424" spans="5:11">
      <c r="E424" s="152"/>
      <c r="F424" s="152"/>
      <c r="I424" s="152"/>
      <c r="K424" s="152"/>
    </row>
    <row r="425" spans="5:11">
      <c r="E425" s="152"/>
      <c r="F425" s="152"/>
      <c r="I425" s="152"/>
      <c r="K425" s="152"/>
    </row>
    <row r="426" spans="5:11">
      <c r="E426" s="152"/>
      <c r="F426" s="152"/>
      <c r="I426" s="152"/>
      <c r="K426" s="152"/>
    </row>
    <row r="427" spans="5:11">
      <c r="E427" s="152"/>
      <c r="F427" s="152"/>
      <c r="I427" s="152"/>
      <c r="K427" s="152"/>
    </row>
    <row r="428" spans="5:11">
      <c r="E428" s="152"/>
      <c r="F428" s="152"/>
      <c r="I428" s="152"/>
      <c r="K428" s="152"/>
    </row>
    <row r="429" spans="5:11">
      <c r="E429" s="152"/>
      <c r="F429" s="152"/>
      <c r="I429" s="152"/>
      <c r="K429" s="152"/>
    </row>
    <row r="430" spans="5:11">
      <c r="E430" s="152"/>
      <c r="F430" s="152"/>
      <c r="I430" s="152"/>
      <c r="K430" s="152"/>
    </row>
    <row r="431" spans="5:11">
      <c r="E431" s="152"/>
      <c r="F431" s="152"/>
      <c r="I431" s="152"/>
      <c r="K431" s="152"/>
    </row>
    <row r="432" spans="5:11">
      <c r="E432" s="152"/>
      <c r="F432" s="152"/>
      <c r="I432" s="152"/>
      <c r="K432" s="15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Z160"/>
  <sheetViews>
    <sheetView workbookViewId="0">
      <selection activeCell="I30" sqref="I30"/>
    </sheetView>
  </sheetViews>
  <sheetFormatPr defaultRowHeight="14.4"/>
  <cols>
    <col min="1" max="1" width="4" bestFit="1" customWidth="1"/>
    <col min="2" max="2" width="9.88671875" bestFit="1" customWidth="1"/>
    <col min="3" max="3" width="14" bestFit="1" customWidth="1"/>
    <col min="4" max="4" width="17" customWidth="1"/>
    <col min="5" max="5" width="13.88671875" customWidth="1"/>
    <col min="6" max="6" width="13.33203125" bestFit="1" customWidth="1"/>
    <col min="7" max="7" width="11.5546875" bestFit="1" customWidth="1"/>
    <col min="9" max="10" width="13.33203125" bestFit="1" customWidth="1"/>
    <col min="11" max="11" width="14.33203125" bestFit="1" customWidth="1"/>
    <col min="12" max="22" width="11.5546875" bestFit="1" customWidth="1"/>
    <col min="23" max="23" width="11.6640625" bestFit="1" customWidth="1"/>
    <col min="26" max="26" width="13.33203125" bestFit="1" customWidth="1"/>
  </cols>
  <sheetData>
    <row r="1" spans="1:26">
      <c r="C1" s="226" t="s">
        <v>82</v>
      </c>
    </row>
    <row r="2" spans="1:26">
      <c r="K2" s="52">
        <f>D3+'[14]CREDIT ref 7.2 MIO'!E4</f>
        <v>14489583.300000001</v>
      </c>
    </row>
    <row r="3" spans="1:26">
      <c r="B3" s="226" t="s">
        <v>131</v>
      </c>
      <c r="C3" s="226"/>
      <c r="D3" s="227">
        <v>7500000</v>
      </c>
      <c r="E3" s="226" t="s">
        <v>62</v>
      </c>
      <c r="F3" s="226"/>
      <c r="G3" s="226"/>
    </row>
    <row r="4" spans="1:26">
      <c r="B4" t="s">
        <v>13</v>
      </c>
      <c r="D4" s="212">
        <f>D5+D6</f>
        <v>7.2800000000000004E-2</v>
      </c>
      <c r="E4" s="52"/>
    </row>
    <row r="5" spans="1:26">
      <c r="B5" t="s">
        <v>132</v>
      </c>
      <c r="D5" s="212">
        <f>'Eximbank 4'!D6</f>
        <v>5.7799999999999997E-2</v>
      </c>
      <c r="E5" s="52"/>
    </row>
    <row r="6" spans="1:26">
      <c r="B6" t="s">
        <v>28</v>
      </c>
      <c r="D6" s="212">
        <v>1.4999999999999999E-2</v>
      </c>
      <c r="K6">
        <v>2022</v>
      </c>
      <c r="L6">
        <f>K6+1</f>
        <v>2023</v>
      </c>
      <c r="M6">
        <f t="shared" ref="M6:W6" si="0">L6+1</f>
        <v>2024</v>
      </c>
      <c r="N6">
        <f t="shared" si="0"/>
        <v>2025</v>
      </c>
      <c r="O6">
        <f t="shared" si="0"/>
        <v>2026</v>
      </c>
      <c r="P6">
        <f t="shared" si="0"/>
        <v>2027</v>
      </c>
      <c r="Q6">
        <f t="shared" si="0"/>
        <v>2028</v>
      </c>
      <c r="R6">
        <f t="shared" si="0"/>
        <v>2029</v>
      </c>
      <c r="S6">
        <f t="shared" si="0"/>
        <v>2030</v>
      </c>
      <c r="T6">
        <f t="shared" si="0"/>
        <v>2031</v>
      </c>
      <c r="U6">
        <f t="shared" si="0"/>
        <v>2032</v>
      </c>
      <c r="V6">
        <f t="shared" si="0"/>
        <v>2033</v>
      </c>
      <c r="W6">
        <f t="shared" si="0"/>
        <v>2034</v>
      </c>
    </row>
    <row r="7" spans="1:26">
      <c r="E7" s="52"/>
      <c r="K7" s="48">
        <f>I14</f>
        <v>0</v>
      </c>
      <c r="L7" s="48">
        <f>I26</f>
        <v>0</v>
      </c>
      <c r="M7" s="48">
        <f>I38</f>
        <v>312500</v>
      </c>
      <c r="N7" s="48">
        <f>I50</f>
        <v>750000</v>
      </c>
      <c r="O7" s="48">
        <f>I62</f>
        <v>750000</v>
      </c>
      <c r="P7" s="48">
        <f>I74</f>
        <v>750000</v>
      </c>
      <c r="Q7" s="48">
        <f>I86</f>
        <v>750000</v>
      </c>
      <c r="R7" s="48">
        <f>I98</f>
        <v>750000</v>
      </c>
      <c r="S7" s="48">
        <f>I110</f>
        <v>750000</v>
      </c>
      <c r="T7" s="48">
        <f>I122</f>
        <v>750000</v>
      </c>
      <c r="U7" s="48">
        <f>I134</f>
        <v>750000</v>
      </c>
      <c r="V7" s="48">
        <f>I146</f>
        <v>750000</v>
      </c>
      <c r="W7" s="48">
        <f>I152</f>
        <v>437500</v>
      </c>
      <c r="Z7" s="52">
        <f>SUM(K7:Y7)</f>
        <v>7500000</v>
      </c>
    </row>
    <row r="8" spans="1:26">
      <c r="B8" s="228" t="s">
        <v>75</v>
      </c>
      <c r="C8" s="228" t="s">
        <v>133</v>
      </c>
      <c r="D8" s="228" t="s">
        <v>29</v>
      </c>
      <c r="E8" s="228" t="s">
        <v>77</v>
      </c>
      <c r="F8" s="228" t="s">
        <v>13</v>
      </c>
      <c r="G8" s="228" t="s">
        <v>32</v>
      </c>
      <c r="K8" s="48">
        <f>J14</f>
        <v>31900.35</v>
      </c>
      <c r="L8" s="48">
        <f>J26</f>
        <v>0</v>
      </c>
      <c r="M8" s="48">
        <f>J38</f>
        <v>515135.66168711113</v>
      </c>
      <c r="N8" s="48">
        <f>J50</f>
        <v>509637.91666666669</v>
      </c>
      <c r="O8" s="48">
        <f>J62</f>
        <v>454279.58333333337</v>
      </c>
      <c r="P8" s="48">
        <f>J74</f>
        <v>398921.25000000006</v>
      </c>
      <c r="Q8" s="48">
        <f>J86</f>
        <v>344561.38888888888</v>
      </c>
      <c r="R8" s="48">
        <f>J98</f>
        <v>288204.58333333331</v>
      </c>
      <c r="S8" s="48">
        <f>J110</f>
        <v>232846.24999999997</v>
      </c>
      <c r="T8" s="48">
        <f>J122</f>
        <v>177487.91666666666</v>
      </c>
      <c r="U8" s="48">
        <f>J134</f>
        <v>122521.38888888892</v>
      </c>
      <c r="V8" s="48">
        <f>J146</f>
        <v>66771.25</v>
      </c>
      <c r="W8" s="48">
        <f>J152</f>
        <v>13346.666666666668</v>
      </c>
      <c r="Z8" s="52">
        <f>SUM(K8:Y8)</f>
        <v>3155614.2061315556</v>
      </c>
    </row>
    <row r="9" spans="1:26">
      <c r="B9" s="229">
        <v>44773</v>
      </c>
      <c r="C9" s="60"/>
      <c r="D9" s="60"/>
      <c r="E9" s="60"/>
      <c r="F9" s="64"/>
      <c r="G9" s="63"/>
    </row>
    <row r="10" spans="1:26">
      <c r="A10">
        <v>1</v>
      </c>
      <c r="B10" s="229">
        <f>EOMONTH(B9,1)</f>
        <v>44804</v>
      </c>
      <c r="C10" s="60"/>
      <c r="D10" s="60"/>
      <c r="E10" s="60"/>
      <c r="F10" s="60"/>
      <c r="G10" s="63"/>
    </row>
    <row r="11" spans="1:26">
      <c r="A11">
        <f t="shared" ref="A11:A74" si="1">A10+1</f>
        <v>2</v>
      </c>
      <c r="B11" s="229">
        <f t="shared" ref="B11:B74" si="2">EOMONTH(B10,1)</f>
        <v>44834</v>
      </c>
      <c r="C11" s="60"/>
      <c r="D11" s="60"/>
      <c r="E11" s="60"/>
      <c r="F11" s="60"/>
      <c r="G11" s="63"/>
    </row>
    <row r="12" spans="1:26">
      <c r="A12">
        <f t="shared" si="1"/>
        <v>3</v>
      </c>
      <c r="B12" s="229">
        <f t="shared" si="2"/>
        <v>44865</v>
      </c>
      <c r="C12" s="64"/>
      <c r="D12" s="64">
        <f>C12</f>
        <v>0</v>
      </c>
      <c r="E12" s="60"/>
      <c r="F12" s="60"/>
      <c r="G12" s="63">
        <f>E12+F12</f>
        <v>0</v>
      </c>
    </row>
    <row r="13" spans="1:26">
      <c r="A13">
        <f t="shared" si="1"/>
        <v>4</v>
      </c>
      <c r="B13" s="229">
        <f t="shared" si="2"/>
        <v>44895</v>
      </c>
      <c r="C13" s="60"/>
      <c r="D13" s="64">
        <f>D12+C13</f>
        <v>0</v>
      </c>
      <c r="E13" s="60"/>
      <c r="F13" s="64">
        <f>(B13-B12)*$D$4*D12/360</f>
        <v>0</v>
      </c>
      <c r="G13" s="63">
        <f t="shared" ref="G13:G76" si="3">E13+F13</f>
        <v>0</v>
      </c>
    </row>
    <row r="14" spans="1:26" s="230" customFormat="1">
      <c r="A14" s="230">
        <f t="shared" si="1"/>
        <v>5</v>
      </c>
      <c r="B14" s="231">
        <f t="shared" si="2"/>
        <v>44926</v>
      </c>
      <c r="C14" s="232"/>
      <c r="D14" s="233">
        <f t="shared" ref="D14:D29" si="4">D13+C14</f>
        <v>0</v>
      </c>
      <c r="E14" s="234"/>
      <c r="F14" s="233">
        <v>31900.35</v>
      </c>
      <c r="G14" s="232">
        <f t="shared" si="3"/>
        <v>31900.35</v>
      </c>
      <c r="I14" s="230">
        <f>SUM(E9:E14)</f>
        <v>0</v>
      </c>
      <c r="J14" s="230">
        <f>SUM(F9:F14)</f>
        <v>31900.35</v>
      </c>
    </row>
    <row r="15" spans="1:26">
      <c r="A15">
        <f t="shared" si="1"/>
        <v>6</v>
      </c>
      <c r="B15" s="229">
        <f t="shared" si="2"/>
        <v>44957</v>
      </c>
      <c r="C15" s="64"/>
      <c r="D15" s="64">
        <f t="shared" si="4"/>
        <v>0</v>
      </c>
      <c r="E15" s="60"/>
      <c r="F15" s="64">
        <f t="shared" ref="F15:F26" si="5">(B15-B14)*$D$4*D14/360</f>
        <v>0</v>
      </c>
      <c r="G15" s="63">
        <f t="shared" si="3"/>
        <v>0</v>
      </c>
    </row>
    <row r="16" spans="1:26">
      <c r="A16">
        <f t="shared" si="1"/>
        <v>7</v>
      </c>
      <c r="B16" s="229">
        <f t="shared" si="2"/>
        <v>44985</v>
      </c>
      <c r="C16" s="60"/>
      <c r="D16" s="64">
        <f t="shared" si="4"/>
        <v>0</v>
      </c>
      <c r="E16" s="60"/>
      <c r="F16" s="64">
        <f t="shared" si="5"/>
        <v>0</v>
      </c>
      <c r="G16" s="63">
        <f t="shared" si="3"/>
        <v>0</v>
      </c>
    </row>
    <row r="17" spans="1:11">
      <c r="A17">
        <f t="shared" si="1"/>
        <v>8</v>
      </c>
      <c r="B17" s="229">
        <f t="shared" si="2"/>
        <v>45016</v>
      </c>
      <c r="C17" s="60"/>
      <c r="D17" s="64">
        <f t="shared" si="4"/>
        <v>0</v>
      </c>
      <c r="E17" s="60"/>
      <c r="F17" s="64">
        <f t="shared" si="5"/>
        <v>0</v>
      </c>
      <c r="G17" s="63">
        <f t="shared" si="3"/>
        <v>0</v>
      </c>
    </row>
    <row r="18" spans="1:11">
      <c r="A18">
        <f t="shared" si="1"/>
        <v>9</v>
      </c>
      <c r="B18" s="229">
        <f t="shared" si="2"/>
        <v>45046</v>
      </c>
      <c r="C18" s="64"/>
      <c r="D18" s="64">
        <f t="shared" si="4"/>
        <v>0</v>
      </c>
      <c r="E18" s="60"/>
      <c r="F18" s="64">
        <f t="shared" si="5"/>
        <v>0</v>
      </c>
      <c r="G18" s="63">
        <f t="shared" si="3"/>
        <v>0</v>
      </c>
    </row>
    <row r="19" spans="1:11">
      <c r="A19">
        <f t="shared" si="1"/>
        <v>10</v>
      </c>
      <c r="B19" s="229">
        <f t="shared" si="2"/>
        <v>45077</v>
      </c>
      <c r="C19" s="60"/>
      <c r="D19" s="64">
        <f t="shared" si="4"/>
        <v>0</v>
      </c>
      <c r="E19" s="60"/>
      <c r="F19" s="64">
        <f t="shared" si="5"/>
        <v>0</v>
      </c>
      <c r="G19" s="63">
        <f t="shared" si="3"/>
        <v>0</v>
      </c>
    </row>
    <row r="20" spans="1:11">
      <c r="A20">
        <f t="shared" si="1"/>
        <v>11</v>
      </c>
      <c r="B20" s="229">
        <f t="shared" si="2"/>
        <v>45107</v>
      </c>
      <c r="C20" s="64"/>
      <c r="D20" s="64">
        <f t="shared" si="4"/>
        <v>0</v>
      </c>
      <c r="E20" s="60"/>
      <c r="F20" s="64">
        <f t="shared" si="5"/>
        <v>0</v>
      </c>
      <c r="G20" s="63">
        <f t="shared" si="3"/>
        <v>0</v>
      </c>
      <c r="K20" s="52">
        <f>C14+C20</f>
        <v>0</v>
      </c>
    </row>
    <row r="21" spans="1:11">
      <c r="A21">
        <f t="shared" si="1"/>
        <v>12</v>
      </c>
      <c r="B21" s="229">
        <f t="shared" si="2"/>
        <v>45138</v>
      </c>
      <c r="C21" s="60"/>
      <c r="D21" s="64">
        <f t="shared" si="4"/>
        <v>0</v>
      </c>
      <c r="E21" s="60"/>
      <c r="F21" s="64">
        <f t="shared" si="5"/>
        <v>0</v>
      </c>
      <c r="G21" s="63">
        <f t="shared" si="3"/>
        <v>0</v>
      </c>
    </row>
    <row r="22" spans="1:11">
      <c r="A22">
        <f t="shared" si="1"/>
        <v>13</v>
      </c>
      <c r="B22" s="229">
        <f t="shared" si="2"/>
        <v>45169</v>
      </c>
      <c r="C22" s="60"/>
      <c r="D22" s="64">
        <f t="shared" si="4"/>
        <v>0</v>
      </c>
      <c r="E22" s="60"/>
      <c r="F22" s="64">
        <f t="shared" si="5"/>
        <v>0</v>
      </c>
      <c r="G22" s="63">
        <f t="shared" si="3"/>
        <v>0</v>
      </c>
    </row>
    <row r="23" spans="1:11">
      <c r="A23">
        <f t="shared" si="1"/>
        <v>14</v>
      </c>
      <c r="B23" s="229">
        <f t="shared" si="2"/>
        <v>45199</v>
      </c>
      <c r="C23" s="64"/>
      <c r="D23" s="64">
        <f t="shared" si="4"/>
        <v>0</v>
      </c>
      <c r="E23" s="60"/>
      <c r="F23" s="64">
        <f t="shared" si="5"/>
        <v>0</v>
      </c>
      <c r="G23" s="63">
        <f t="shared" si="3"/>
        <v>0</v>
      </c>
    </row>
    <row r="24" spans="1:11">
      <c r="A24">
        <f t="shared" si="1"/>
        <v>15</v>
      </c>
      <c r="B24" s="229">
        <f t="shared" si="2"/>
        <v>45230</v>
      </c>
      <c r="C24" s="64"/>
      <c r="D24" s="64">
        <f t="shared" si="4"/>
        <v>0</v>
      </c>
      <c r="E24" s="60"/>
      <c r="F24" s="64">
        <f t="shared" si="5"/>
        <v>0</v>
      </c>
      <c r="G24" s="63">
        <f t="shared" si="3"/>
        <v>0</v>
      </c>
    </row>
    <row r="25" spans="1:11">
      <c r="A25">
        <f t="shared" si="1"/>
        <v>16</v>
      </c>
      <c r="B25" s="229">
        <f t="shared" si="2"/>
        <v>45260</v>
      </c>
      <c r="C25" s="60"/>
      <c r="D25" s="64">
        <f t="shared" si="4"/>
        <v>0</v>
      </c>
      <c r="E25" s="60"/>
      <c r="F25" s="64">
        <f t="shared" si="5"/>
        <v>0</v>
      </c>
      <c r="G25" s="63">
        <f t="shared" si="3"/>
        <v>0</v>
      </c>
    </row>
    <row r="26" spans="1:11" s="230" customFormat="1">
      <c r="A26" s="230">
        <f t="shared" si="1"/>
        <v>17</v>
      </c>
      <c r="B26" s="231">
        <f t="shared" si="2"/>
        <v>45291</v>
      </c>
      <c r="C26" s="232">
        <f>7500000-3102097.48</f>
        <v>4397902.5199999996</v>
      </c>
      <c r="D26" s="233">
        <f t="shared" si="4"/>
        <v>4397902.5199999996</v>
      </c>
      <c r="E26" s="234"/>
      <c r="F26" s="233">
        <f t="shared" si="5"/>
        <v>0</v>
      </c>
      <c r="G26" s="232">
        <f t="shared" si="3"/>
        <v>0</v>
      </c>
      <c r="I26" s="230">
        <f>SUM(E15:E26)</f>
        <v>0</v>
      </c>
      <c r="J26" s="230">
        <f>SUM(F15:F26)</f>
        <v>0</v>
      </c>
    </row>
    <row r="27" spans="1:11">
      <c r="A27">
        <f t="shared" si="1"/>
        <v>18</v>
      </c>
      <c r="B27" s="229">
        <f t="shared" si="2"/>
        <v>45322</v>
      </c>
      <c r="C27" s="60"/>
      <c r="D27" s="64">
        <f t="shared" si="4"/>
        <v>4397902.5199999996</v>
      </c>
      <c r="E27" s="63"/>
      <c r="F27" s="64">
        <f>(B27-B26)*$D$4*D26/360</f>
        <v>27569.962242044443</v>
      </c>
      <c r="G27" s="63">
        <f t="shared" si="3"/>
        <v>27569.962242044443</v>
      </c>
    </row>
    <row r="28" spans="1:11">
      <c r="A28">
        <f t="shared" si="1"/>
        <v>19</v>
      </c>
      <c r="B28" s="229">
        <f t="shared" si="2"/>
        <v>45351</v>
      </c>
      <c r="C28" s="63">
        <v>3102097.48</v>
      </c>
      <c r="D28" s="64">
        <f t="shared" si="4"/>
        <v>7500000</v>
      </c>
      <c r="E28" s="64"/>
      <c r="F28" s="64">
        <f>(B28-B27)*$D$4*D27/360</f>
        <v>25791.255000622223</v>
      </c>
      <c r="G28" s="63">
        <f t="shared" si="3"/>
        <v>25791.255000622223</v>
      </c>
    </row>
    <row r="29" spans="1:11">
      <c r="A29">
        <f t="shared" si="1"/>
        <v>20</v>
      </c>
      <c r="B29" s="229">
        <f t="shared" si="2"/>
        <v>45382</v>
      </c>
      <c r="C29" s="63"/>
      <c r="D29" s="64">
        <f t="shared" si="4"/>
        <v>7500000</v>
      </c>
      <c r="E29" s="63"/>
      <c r="F29" s="64">
        <f t="shared" ref="F29:F92" si="6">(B29-B28)*$D$4*D28/360</f>
        <v>47016.666666666664</v>
      </c>
      <c r="G29" s="63">
        <f t="shared" si="3"/>
        <v>47016.666666666664</v>
      </c>
    </row>
    <row r="30" spans="1:11">
      <c r="A30">
        <f t="shared" si="1"/>
        <v>21</v>
      </c>
      <c r="B30" s="229">
        <f t="shared" si="2"/>
        <v>45412</v>
      </c>
      <c r="C30" s="60"/>
      <c r="D30" s="64">
        <f t="shared" ref="D30:D92" si="7">D29-E29</f>
        <v>7500000</v>
      </c>
      <c r="E30" s="63"/>
      <c r="F30" s="64">
        <f t="shared" si="6"/>
        <v>45500.000000000007</v>
      </c>
      <c r="G30" s="63">
        <f t="shared" si="3"/>
        <v>45500.000000000007</v>
      </c>
    </row>
    <row r="31" spans="1:11">
      <c r="A31">
        <f t="shared" si="1"/>
        <v>22</v>
      </c>
      <c r="B31" s="229">
        <f t="shared" si="2"/>
        <v>45443</v>
      </c>
      <c r="C31" s="60"/>
      <c r="D31" s="64">
        <f t="shared" si="7"/>
        <v>7500000</v>
      </c>
      <c r="E31" s="63"/>
      <c r="F31" s="64">
        <f t="shared" si="6"/>
        <v>47016.666666666664</v>
      </c>
      <c r="G31" s="63">
        <f t="shared" si="3"/>
        <v>47016.666666666664</v>
      </c>
    </row>
    <row r="32" spans="1:11">
      <c r="A32">
        <f t="shared" si="1"/>
        <v>23</v>
      </c>
      <c r="B32" s="229">
        <f t="shared" si="2"/>
        <v>45473</v>
      </c>
      <c r="C32" s="60"/>
      <c r="D32" s="64">
        <f t="shared" si="7"/>
        <v>7500000</v>
      </c>
      <c r="E32" s="63"/>
      <c r="F32" s="64">
        <f t="shared" si="6"/>
        <v>45500.000000000007</v>
      </c>
      <c r="G32" s="63">
        <f t="shared" si="3"/>
        <v>45500.000000000007</v>
      </c>
    </row>
    <row r="33" spans="1:10">
      <c r="A33">
        <f t="shared" si="1"/>
        <v>24</v>
      </c>
      <c r="B33" s="229">
        <f t="shared" si="2"/>
        <v>45504</v>
      </c>
      <c r="C33" s="60"/>
      <c r="D33" s="64">
        <f t="shared" si="7"/>
        <v>7500000</v>
      </c>
      <c r="E33" s="63"/>
      <c r="F33" s="64">
        <f t="shared" si="6"/>
        <v>47016.666666666664</v>
      </c>
      <c r="G33" s="63">
        <f t="shared" si="3"/>
        <v>47016.666666666664</v>
      </c>
    </row>
    <row r="34" spans="1:10">
      <c r="A34">
        <f t="shared" si="1"/>
        <v>25</v>
      </c>
      <c r="B34" s="229">
        <f t="shared" si="2"/>
        <v>45535</v>
      </c>
      <c r="C34" s="60"/>
      <c r="D34" s="64">
        <f t="shared" si="7"/>
        <v>7500000</v>
      </c>
      <c r="E34" s="63">
        <f>D3/120</f>
        <v>62500</v>
      </c>
      <c r="F34" s="64">
        <f t="shared" si="6"/>
        <v>47016.666666666664</v>
      </c>
      <c r="G34" s="63">
        <f t="shared" si="3"/>
        <v>109516.66666666666</v>
      </c>
    </row>
    <row r="35" spans="1:10">
      <c r="A35">
        <f t="shared" si="1"/>
        <v>26</v>
      </c>
      <c r="B35" s="229">
        <f t="shared" si="2"/>
        <v>45565</v>
      </c>
      <c r="C35" s="60"/>
      <c r="D35" s="64">
        <f t="shared" si="7"/>
        <v>7437500</v>
      </c>
      <c r="E35" s="63">
        <f t="shared" ref="E35:E98" si="8">E34</f>
        <v>62500</v>
      </c>
      <c r="F35" s="64">
        <f t="shared" si="6"/>
        <v>45500.000000000007</v>
      </c>
      <c r="G35" s="63">
        <f t="shared" si="3"/>
        <v>108000</v>
      </c>
    </row>
    <row r="36" spans="1:10">
      <c r="A36">
        <f t="shared" si="1"/>
        <v>27</v>
      </c>
      <c r="B36" s="229">
        <f t="shared" si="2"/>
        <v>45596</v>
      </c>
      <c r="C36" s="60"/>
      <c r="D36" s="64">
        <f t="shared" si="7"/>
        <v>7375000</v>
      </c>
      <c r="E36" s="63">
        <f t="shared" si="8"/>
        <v>62500</v>
      </c>
      <c r="F36" s="64">
        <f t="shared" si="6"/>
        <v>46624.861111111109</v>
      </c>
      <c r="G36" s="63">
        <f t="shared" si="3"/>
        <v>109124.86111111111</v>
      </c>
    </row>
    <row r="37" spans="1:10">
      <c r="A37">
        <f t="shared" si="1"/>
        <v>28</v>
      </c>
      <c r="B37" s="229">
        <f t="shared" si="2"/>
        <v>45626</v>
      </c>
      <c r="C37" s="60"/>
      <c r="D37" s="64">
        <f t="shared" si="7"/>
        <v>7312500</v>
      </c>
      <c r="E37" s="63">
        <f t="shared" si="8"/>
        <v>62500</v>
      </c>
      <c r="F37" s="64">
        <f t="shared" si="6"/>
        <v>44741.666666666672</v>
      </c>
      <c r="G37" s="63">
        <f t="shared" si="3"/>
        <v>107241.66666666667</v>
      </c>
    </row>
    <row r="38" spans="1:10" s="230" customFormat="1">
      <c r="A38" s="230">
        <f t="shared" si="1"/>
        <v>29</v>
      </c>
      <c r="B38" s="231">
        <f t="shared" si="2"/>
        <v>45657</v>
      </c>
      <c r="C38" s="234"/>
      <c r="D38" s="233">
        <f t="shared" si="7"/>
        <v>7250000</v>
      </c>
      <c r="E38" s="232">
        <f t="shared" si="8"/>
        <v>62500</v>
      </c>
      <c r="F38" s="233">
        <f t="shared" si="6"/>
        <v>45841.250000000007</v>
      </c>
      <c r="G38" s="232">
        <f t="shared" si="3"/>
        <v>108341.25</v>
      </c>
      <c r="I38" s="53">
        <f>SUM(E27:E38)</f>
        <v>312500</v>
      </c>
      <c r="J38" s="230">
        <f>SUM(F27:F38)</f>
        <v>515135.66168711113</v>
      </c>
    </row>
    <row r="39" spans="1:10">
      <c r="A39">
        <f t="shared" si="1"/>
        <v>30</v>
      </c>
      <c r="B39" s="229">
        <f t="shared" si="2"/>
        <v>45688</v>
      </c>
      <c r="C39" s="60"/>
      <c r="D39" s="64">
        <f t="shared" si="7"/>
        <v>7187500</v>
      </c>
      <c r="E39" s="63">
        <f t="shared" si="8"/>
        <v>62500</v>
      </c>
      <c r="F39" s="64">
        <f t="shared" si="6"/>
        <v>45449.444444444453</v>
      </c>
      <c r="G39" s="63">
        <f t="shared" si="3"/>
        <v>107949.44444444445</v>
      </c>
    </row>
    <row r="40" spans="1:10">
      <c r="A40">
        <f t="shared" si="1"/>
        <v>31</v>
      </c>
      <c r="B40" s="229">
        <f t="shared" si="2"/>
        <v>45716</v>
      </c>
      <c r="C40" s="60"/>
      <c r="D40" s="64">
        <f t="shared" si="7"/>
        <v>7125000</v>
      </c>
      <c r="E40" s="63">
        <f t="shared" si="8"/>
        <v>62500</v>
      </c>
      <c r="F40" s="64">
        <f t="shared" si="6"/>
        <v>40697.222222222226</v>
      </c>
      <c r="G40" s="63">
        <f t="shared" si="3"/>
        <v>103197.22222222222</v>
      </c>
    </row>
    <row r="41" spans="1:10">
      <c r="A41">
        <f t="shared" si="1"/>
        <v>32</v>
      </c>
      <c r="B41" s="229">
        <f t="shared" si="2"/>
        <v>45747</v>
      </c>
      <c r="C41" s="60"/>
      <c r="D41" s="64">
        <f t="shared" si="7"/>
        <v>7062500</v>
      </c>
      <c r="E41" s="63">
        <f t="shared" si="8"/>
        <v>62500</v>
      </c>
      <c r="F41" s="64">
        <f t="shared" si="6"/>
        <v>44665.833333333336</v>
      </c>
      <c r="G41" s="63">
        <f t="shared" si="3"/>
        <v>107165.83333333334</v>
      </c>
    </row>
    <row r="42" spans="1:10">
      <c r="A42">
        <f t="shared" si="1"/>
        <v>33</v>
      </c>
      <c r="B42" s="229">
        <f t="shared" si="2"/>
        <v>45777</v>
      </c>
      <c r="C42" s="60"/>
      <c r="D42" s="64">
        <f t="shared" si="7"/>
        <v>7000000</v>
      </c>
      <c r="E42" s="63">
        <f t="shared" si="8"/>
        <v>62500</v>
      </c>
      <c r="F42" s="64">
        <f t="shared" si="6"/>
        <v>42845.833333333336</v>
      </c>
      <c r="G42" s="63">
        <f t="shared" si="3"/>
        <v>105345.83333333334</v>
      </c>
    </row>
    <row r="43" spans="1:10">
      <c r="A43">
        <f t="shared" si="1"/>
        <v>34</v>
      </c>
      <c r="B43" s="229">
        <f t="shared" si="2"/>
        <v>45808</v>
      </c>
      <c r="C43" s="60"/>
      <c r="D43" s="64">
        <f t="shared" si="7"/>
        <v>6937500</v>
      </c>
      <c r="E43" s="63">
        <f t="shared" si="8"/>
        <v>62500</v>
      </c>
      <c r="F43" s="64">
        <f t="shared" si="6"/>
        <v>43882.222222222226</v>
      </c>
      <c r="G43" s="63">
        <f t="shared" si="3"/>
        <v>106382.22222222222</v>
      </c>
    </row>
    <row r="44" spans="1:10">
      <c r="A44">
        <f t="shared" si="1"/>
        <v>35</v>
      </c>
      <c r="B44" s="229">
        <f t="shared" si="2"/>
        <v>45838</v>
      </c>
      <c r="C44" s="60"/>
      <c r="D44" s="64">
        <f t="shared" si="7"/>
        <v>6875000</v>
      </c>
      <c r="E44" s="63">
        <f t="shared" si="8"/>
        <v>62500</v>
      </c>
      <c r="F44" s="64">
        <f t="shared" si="6"/>
        <v>42087.500000000007</v>
      </c>
      <c r="G44" s="63">
        <f t="shared" si="3"/>
        <v>104587.5</v>
      </c>
    </row>
    <row r="45" spans="1:10">
      <c r="A45">
        <f t="shared" si="1"/>
        <v>36</v>
      </c>
      <c r="B45" s="229">
        <f t="shared" si="2"/>
        <v>45869</v>
      </c>
      <c r="C45" s="60"/>
      <c r="D45" s="64">
        <f t="shared" si="7"/>
        <v>6812500</v>
      </c>
      <c r="E45" s="63">
        <f t="shared" si="8"/>
        <v>62500</v>
      </c>
      <c r="F45" s="64">
        <f t="shared" si="6"/>
        <v>43098.611111111117</v>
      </c>
      <c r="G45" s="63">
        <f t="shared" si="3"/>
        <v>105598.61111111112</v>
      </c>
    </row>
    <row r="46" spans="1:10">
      <c r="A46">
        <f t="shared" si="1"/>
        <v>37</v>
      </c>
      <c r="B46" s="229">
        <f t="shared" si="2"/>
        <v>45900</v>
      </c>
      <c r="C46" s="60"/>
      <c r="D46" s="64">
        <f t="shared" si="7"/>
        <v>6750000</v>
      </c>
      <c r="E46" s="63">
        <f t="shared" si="8"/>
        <v>62500</v>
      </c>
      <c r="F46" s="64">
        <f t="shared" si="6"/>
        <v>42706.805555555562</v>
      </c>
      <c r="G46" s="63">
        <f t="shared" si="3"/>
        <v>105206.80555555556</v>
      </c>
    </row>
    <row r="47" spans="1:10">
      <c r="A47">
        <f t="shared" si="1"/>
        <v>38</v>
      </c>
      <c r="B47" s="229">
        <f t="shared" si="2"/>
        <v>45930</v>
      </c>
      <c r="C47" s="60"/>
      <c r="D47" s="64">
        <f t="shared" si="7"/>
        <v>6687500</v>
      </c>
      <c r="E47" s="63">
        <f t="shared" si="8"/>
        <v>62500</v>
      </c>
      <c r="F47" s="64">
        <f t="shared" si="6"/>
        <v>40950.000000000007</v>
      </c>
      <c r="G47" s="63">
        <f t="shared" si="3"/>
        <v>103450</v>
      </c>
    </row>
    <row r="48" spans="1:10">
      <c r="A48">
        <f t="shared" si="1"/>
        <v>39</v>
      </c>
      <c r="B48" s="229">
        <f t="shared" si="2"/>
        <v>45961</v>
      </c>
      <c r="C48" s="60"/>
      <c r="D48" s="64">
        <f t="shared" si="7"/>
        <v>6625000</v>
      </c>
      <c r="E48" s="63">
        <f t="shared" si="8"/>
        <v>62500</v>
      </c>
      <c r="F48" s="64">
        <f t="shared" si="6"/>
        <v>41923.194444444445</v>
      </c>
      <c r="G48" s="63">
        <f t="shared" si="3"/>
        <v>104423.19444444444</v>
      </c>
    </row>
    <row r="49" spans="1:10">
      <c r="A49">
        <f t="shared" si="1"/>
        <v>40</v>
      </c>
      <c r="B49" s="229">
        <f t="shared" si="2"/>
        <v>45991</v>
      </c>
      <c r="C49" s="60"/>
      <c r="D49" s="64">
        <f t="shared" si="7"/>
        <v>6562500</v>
      </c>
      <c r="E49" s="63">
        <f t="shared" si="8"/>
        <v>62500</v>
      </c>
      <c r="F49" s="64">
        <f t="shared" si="6"/>
        <v>40191.666666666672</v>
      </c>
      <c r="G49" s="63">
        <f t="shared" si="3"/>
        <v>102691.66666666667</v>
      </c>
    </row>
    <row r="50" spans="1:10" s="230" customFormat="1">
      <c r="A50" s="230">
        <f t="shared" si="1"/>
        <v>41</v>
      </c>
      <c r="B50" s="231">
        <f t="shared" si="2"/>
        <v>46022</v>
      </c>
      <c r="C50" s="234"/>
      <c r="D50" s="233">
        <f t="shared" si="7"/>
        <v>6500000</v>
      </c>
      <c r="E50" s="232">
        <f t="shared" si="8"/>
        <v>62500</v>
      </c>
      <c r="F50" s="233">
        <f t="shared" si="6"/>
        <v>41139.583333333336</v>
      </c>
      <c r="G50" s="232">
        <f t="shared" si="3"/>
        <v>103639.58333333334</v>
      </c>
      <c r="I50" s="230">
        <f>SUM(E39:E50)</f>
        <v>750000</v>
      </c>
      <c r="J50" s="230">
        <f>SUM(F39:F50)</f>
        <v>509637.91666666669</v>
      </c>
    </row>
    <row r="51" spans="1:10">
      <c r="A51">
        <f t="shared" si="1"/>
        <v>42</v>
      </c>
      <c r="B51" s="229">
        <f t="shared" si="2"/>
        <v>46053</v>
      </c>
      <c r="C51" s="60"/>
      <c r="D51" s="64">
        <f t="shared" si="7"/>
        <v>6437500</v>
      </c>
      <c r="E51" s="63">
        <f t="shared" si="8"/>
        <v>62500</v>
      </c>
      <c r="F51" s="64">
        <f t="shared" si="6"/>
        <v>40747.777777777781</v>
      </c>
      <c r="G51" s="63">
        <f t="shared" si="3"/>
        <v>103247.77777777778</v>
      </c>
    </row>
    <row r="52" spans="1:10">
      <c r="A52">
        <f t="shared" si="1"/>
        <v>43</v>
      </c>
      <c r="B52" s="229">
        <f t="shared" si="2"/>
        <v>46081</v>
      </c>
      <c r="C52" s="60"/>
      <c r="D52" s="64">
        <f t="shared" si="7"/>
        <v>6375000</v>
      </c>
      <c r="E52" s="63">
        <f t="shared" si="8"/>
        <v>62500</v>
      </c>
      <c r="F52" s="64">
        <f t="shared" si="6"/>
        <v>36450.555555555562</v>
      </c>
      <c r="G52" s="63">
        <f t="shared" si="3"/>
        <v>98950.555555555562</v>
      </c>
    </row>
    <row r="53" spans="1:10">
      <c r="A53">
        <f t="shared" si="1"/>
        <v>44</v>
      </c>
      <c r="B53" s="229">
        <f t="shared" si="2"/>
        <v>46112</v>
      </c>
      <c r="C53" s="60"/>
      <c r="D53" s="64">
        <f t="shared" si="7"/>
        <v>6312500</v>
      </c>
      <c r="E53" s="63">
        <f t="shared" si="8"/>
        <v>62500</v>
      </c>
      <c r="F53" s="64">
        <f t="shared" si="6"/>
        <v>39964.166666666664</v>
      </c>
      <c r="G53" s="63">
        <f t="shared" si="3"/>
        <v>102464.16666666666</v>
      </c>
    </row>
    <row r="54" spans="1:10">
      <c r="A54">
        <f t="shared" si="1"/>
        <v>45</v>
      </c>
      <c r="B54" s="229">
        <f t="shared" si="2"/>
        <v>46142</v>
      </c>
      <c r="C54" s="60"/>
      <c r="D54" s="64">
        <f t="shared" si="7"/>
        <v>6250000</v>
      </c>
      <c r="E54" s="63">
        <f t="shared" si="8"/>
        <v>62500</v>
      </c>
      <c r="F54" s="64">
        <f t="shared" si="6"/>
        <v>38295.833333333336</v>
      </c>
      <c r="G54" s="63">
        <f t="shared" si="3"/>
        <v>100795.83333333334</v>
      </c>
    </row>
    <row r="55" spans="1:10">
      <c r="A55">
        <f t="shared" si="1"/>
        <v>46</v>
      </c>
      <c r="B55" s="229">
        <f t="shared" si="2"/>
        <v>46173</v>
      </c>
      <c r="C55" s="60"/>
      <c r="D55" s="64">
        <f t="shared" si="7"/>
        <v>6187500</v>
      </c>
      <c r="E55" s="63">
        <f t="shared" si="8"/>
        <v>62500</v>
      </c>
      <c r="F55" s="64">
        <f t="shared" si="6"/>
        <v>39180.555555555555</v>
      </c>
      <c r="G55" s="63">
        <f t="shared" si="3"/>
        <v>101680.55555555556</v>
      </c>
    </row>
    <row r="56" spans="1:10">
      <c r="A56">
        <f t="shared" si="1"/>
        <v>47</v>
      </c>
      <c r="B56" s="229">
        <f t="shared" si="2"/>
        <v>46203</v>
      </c>
      <c r="C56" s="60"/>
      <c r="D56" s="64">
        <f t="shared" si="7"/>
        <v>6125000</v>
      </c>
      <c r="E56" s="63">
        <f t="shared" si="8"/>
        <v>62500</v>
      </c>
      <c r="F56" s="64">
        <f t="shared" si="6"/>
        <v>37537.500000000007</v>
      </c>
      <c r="G56" s="63">
        <f t="shared" si="3"/>
        <v>100037.5</v>
      </c>
    </row>
    <row r="57" spans="1:10">
      <c r="A57">
        <f t="shared" si="1"/>
        <v>48</v>
      </c>
      <c r="B57" s="229">
        <f t="shared" si="2"/>
        <v>46234</v>
      </c>
      <c r="C57" s="60"/>
      <c r="D57" s="64">
        <f t="shared" si="7"/>
        <v>6062500</v>
      </c>
      <c r="E57" s="63">
        <f t="shared" si="8"/>
        <v>62500</v>
      </c>
      <c r="F57" s="64">
        <f t="shared" si="6"/>
        <v>38396.944444444445</v>
      </c>
      <c r="G57" s="63">
        <f t="shared" si="3"/>
        <v>100896.94444444444</v>
      </c>
    </row>
    <row r="58" spans="1:10">
      <c r="A58">
        <f t="shared" si="1"/>
        <v>49</v>
      </c>
      <c r="B58" s="229">
        <f t="shared" si="2"/>
        <v>46265</v>
      </c>
      <c r="C58" s="60"/>
      <c r="D58" s="64">
        <f t="shared" si="7"/>
        <v>6000000</v>
      </c>
      <c r="E58" s="63">
        <f t="shared" si="8"/>
        <v>62500</v>
      </c>
      <c r="F58" s="64">
        <f t="shared" si="6"/>
        <v>38005.138888888891</v>
      </c>
      <c r="G58" s="63">
        <f t="shared" si="3"/>
        <v>100505.13888888889</v>
      </c>
    </row>
    <row r="59" spans="1:10">
      <c r="A59">
        <f t="shared" si="1"/>
        <v>50</v>
      </c>
      <c r="B59" s="229">
        <f t="shared" si="2"/>
        <v>46295</v>
      </c>
      <c r="C59" s="60"/>
      <c r="D59" s="64">
        <f t="shared" si="7"/>
        <v>5937500</v>
      </c>
      <c r="E59" s="63">
        <f t="shared" si="8"/>
        <v>62500</v>
      </c>
      <c r="F59" s="64">
        <f t="shared" si="6"/>
        <v>36400.000000000007</v>
      </c>
      <c r="G59" s="63">
        <f t="shared" si="3"/>
        <v>98900</v>
      </c>
    </row>
    <row r="60" spans="1:10">
      <c r="A60">
        <f t="shared" si="1"/>
        <v>51</v>
      </c>
      <c r="B60" s="229">
        <f t="shared" si="2"/>
        <v>46326</v>
      </c>
      <c r="C60" s="60"/>
      <c r="D60" s="64">
        <f t="shared" si="7"/>
        <v>5875000</v>
      </c>
      <c r="E60" s="63">
        <f t="shared" si="8"/>
        <v>62500</v>
      </c>
      <c r="F60" s="64">
        <f t="shared" si="6"/>
        <v>37221.527777777781</v>
      </c>
      <c r="G60" s="63">
        <f t="shared" si="3"/>
        <v>99721.527777777781</v>
      </c>
    </row>
    <row r="61" spans="1:10">
      <c r="A61">
        <f t="shared" si="1"/>
        <v>52</v>
      </c>
      <c r="B61" s="229">
        <f t="shared" si="2"/>
        <v>46356</v>
      </c>
      <c r="C61" s="60"/>
      <c r="D61" s="64">
        <f t="shared" si="7"/>
        <v>5812500</v>
      </c>
      <c r="E61" s="63">
        <f t="shared" si="8"/>
        <v>62500</v>
      </c>
      <c r="F61" s="64">
        <f t="shared" si="6"/>
        <v>35641.666666666672</v>
      </c>
      <c r="G61" s="63">
        <f t="shared" si="3"/>
        <v>98141.666666666672</v>
      </c>
    </row>
    <row r="62" spans="1:10" s="230" customFormat="1">
      <c r="A62" s="230">
        <f t="shared" si="1"/>
        <v>53</v>
      </c>
      <c r="B62" s="231">
        <f t="shared" si="2"/>
        <v>46387</v>
      </c>
      <c r="C62" s="234"/>
      <c r="D62" s="233">
        <f t="shared" si="7"/>
        <v>5750000</v>
      </c>
      <c r="E62" s="232">
        <f t="shared" si="8"/>
        <v>62500</v>
      </c>
      <c r="F62" s="233">
        <f t="shared" si="6"/>
        <v>36437.916666666664</v>
      </c>
      <c r="G62" s="232">
        <f t="shared" si="3"/>
        <v>98937.916666666657</v>
      </c>
      <c r="I62" s="230">
        <f>SUM(E51:E62)</f>
        <v>750000</v>
      </c>
      <c r="J62" s="230">
        <f>SUM(F51:F62)</f>
        <v>454279.58333333337</v>
      </c>
    </row>
    <row r="63" spans="1:10">
      <c r="A63">
        <f t="shared" si="1"/>
        <v>54</v>
      </c>
      <c r="B63" s="229">
        <f t="shared" si="2"/>
        <v>46418</v>
      </c>
      <c r="C63" s="60"/>
      <c r="D63" s="64">
        <f t="shared" si="7"/>
        <v>5687500</v>
      </c>
      <c r="E63" s="63">
        <f t="shared" si="8"/>
        <v>62500</v>
      </c>
      <c r="F63" s="64">
        <f t="shared" si="6"/>
        <v>36046.111111111109</v>
      </c>
      <c r="G63" s="63">
        <f t="shared" si="3"/>
        <v>98546.111111111109</v>
      </c>
    </row>
    <row r="64" spans="1:10">
      <c r="A64">
        <f t="shared" si="1"/>
        <v>55</v>
      </c>
      <c r="B64" s="229">
        <f t="shared" si="2"/>
        <v>46446</v>
      </c>
      <c r="C64" s="60"/>
      <c r="D64" s="64">
        <f t="shared" si="7"/>
        <v>5625000</v>
      </c>
      <c r="E64" s="63">
        <f t="shared" si="8"/>
        <v>62500</v>
      </c>
      <c r="F64" s="64">
        <f t="shared" si="6"/>
        <v>32203.888888888894</v>
      </c>
      <c r="G64" s="63">
        <f t="shared" si="3"/>
        <v>94703.888888888891</v>
      </c>
    </row>
    <row r="65" spans="1:10">
      <c r="A65">
        <f t="shared" si="1"/>
        <v>56</v>
      </c>
      <c r="B65" s="229">
        <f t="shared" si="2"/>
        <v>46477</v>
      </c>
      <c r="C65" s="60"/>
      <c r="D65" s="64">
        <f t="shared" si="7"/>
        <v>5562500</v>
      </c>
      <c r="E65" s="63">
        <f t="shared" si="8"/>
        <v>62500</v>
      </c>
      <c r="F65" s="64">
        <f t="shared" si="6"/>
        <v>35262.5</v>
      </c>
      <c r="G65" s="63">
        <f t="shared" si="3"/>
        <v>97762.5</v>
      </c>
    </row>
    <row r="66" spans="1:10">
      <c r="A66">
        <f t="shared" si="1"/>
        <v>57</v>
      </c>
      <c r="B66" s="229">
        <f t="shared" si="2"/>
        <v>46507</v>
      </c>
      <c r="C66" s="60"/>
      <c r="D66" s="64">
        <f t="shared" si="7"/>
        <v>5500000</v>
      </c>
      <c r="E66" s="63">
        <f t="shared" si="8"/>
        <v>62500</v>
      </c>
      <c r="F66" s="64">
        <f t="shared" si="6"/>
        <v>33745.833333333336</v>
      </c>
      <c r="G66" s="63">
        <f t="shared" si="3"/>
        <v>96245.833333333343</v>
      </c>
    </row>
    <row r="67" spans="1:10">
      <c r="A67">
        <f t="shared" si="1"/>
        <v>58</v>
      </c>
      <c r="B67" s="229">
        <f t="shared" si="2"/>
        <v>46538</v>
      </c>
      <c r="C67" s="60"/>
      <c r="D67" s="64">
        <f t="shared" si="7"/>
        <v>5437500</v>
      </c>
      <c r="E67" s="63">
        <f t="shared" si="8"/>
        <v>62500</v>
      </c>
      <c r="F67" s="64">
        <f t="shared" si="6"/>
        <v>34478.888888888891</v>
      </c>
      <c r="G67" s="63">
        <f t="shared" si="3"/>
        <v>96978.888888888891</v>
      </c>
    </row>
    <row r="68" spans="1:10">
      <c r="A68">
        <f t="shared" si="1"/>
        <v>59</v>
      </c>
      <c r="B68" s="229">
        <f t="shared" si="2"/>
        <v>46568</v>
      </c>
      <c r="C68" s="60"/>
      <c r="D68" s="64">
        <f t="shared" si="7"/>
        <v>5375000</v>
      </c>
      <c r="E68" s="63">
        <f t="shared" si="8"/>
        <v>62500</v>
      </c>
      <c r="F68" s="64">
        <f t="shared" si="6"/>
        <v>32987.5</v>
      </c>
      <c r="G68" s="63">
        <f t="shared" si="3"/>
        <v>95487.5</v>
      </c>
    </row>
    <row r="69" spans="1:10">
      <c r="A69">
        <f t="shared" si="1"/>
        <v>60</v>
      </c>
      <c r="B69" s="229">
        <f t="shared" si="2"/>
        <v>46599</v>
      </c>
      <c r="C69" s="60"/>
      <c r="D69" s="64">
        <f t="shared" si="7"/>
        <v>5312500</v>
      </c>
      <c r="E69" s="63">
        <f t="shared" si="8"/>
        <v>62500</v>
      </c>
      <c r="F69" s="64">
        <f t="shared" si="6"/>
        <v>33695.277777777781</v>
      </c>
      <c r="G69" s="63">
        <f t="shared" si="3"/>
        <v>96195.277777777781</v>
      </c>
    </row>
    <row r="70" spans="1:10">
      <c r="A70">
        <f t="shared" si="1"/>
        <v>61</v>
      </c>
      <c r="B70" s="229">
        <f t="shared" si="2"/>
        <v>46630</v>
      </c>
      <c r="C70" s="60"/>
      <c r="D70" s="64">
        <f t="shared" si="7"/>
        <v>5250000</v>
      </c>
      <c r="E70" s="63">
        <f t="shared" si="8"/>
        <v>62500</v>
      </c>
      <c r="F70" s="64">
        <f t="shared" si="6"/>
        <v>33303.472222222219</v>
      </c>
      <c r="G70" s="63">
        <f t="shared" si="3"/>
        <v>95803.472222222219</v>
      </c>
    </row>
    <row r="71" spans="1:10">
      <c r="A71">
        <f t="shared" si="1"/>
        <v>62</v>
      </c>
      <c r="B71" s="229">
        <f t="shared" si="2"/>
        <v>46660</v>
      </c>
      <c r="C71" s="60"/>
      <c r="D71" s="64">
        <f t="shared" si="7"/>
        <v>5187500</v>
      </c>
      <c r="E71" s="63">
        <f t="shared" si="8"/>
        <v>62500</v>
      </c>
      <c r="F71" s="64">
        <f t="shared" si="6"/>
        <v>31850</v>
      </c>
      <c r="G71" s="63">
        <f t="shared" si="3"/>
        <v>94350</v>
      </c>
    </row>
    <row r="72" spans="1:10">
      <c r="A72">
        <f t="shared" si="1"/>
        <v>63</v>
      </c>
      <c r="B72" s="229">
        <f t="shared" si="2"/>
        <v>46691</v>
      </c>
      <c r="C72" s="60"/>
      <c r="D72" s="64">
        <f t="shared" si="7"/>
        <v>5125000</v>
      </c>
      <c r="E72" s="63">
        <f t="shared" si="8"/>
        <v>62500</v>
      </c>
      <c r="F72" s="64">
        <f t="shared" si="6"/>
        <v>32519.861111111109</v>
      </c>
      <c r="G72" s="63">
        <f t="shared" si="3"/>
        <v>95019.861111111109</v>
      </c>
    </row>
    <row r="73" spans="1:10">
      <c r="A73">
        <f t="shared" si="1"/>
        <v>64</v>
      </c>
      <c r="B73" s="229">
        <f t="shared" si="2"/>
        <v>46721</v>
      </c>
      <c r="C73" s="60"/>
      <c r="D73" s="64">
        <f t="shared" si="7"/>
        <v>5062500</v>
      </c>
      <c r="E73" s="63">
        <f t="shared" si="8"/>
        <v>62500</v>
      </c>
      <c r="F73" s="64">
        <f t="shared" si="6"/>
        <v>31091.666666666668</v>
      </c>
      <c r="G73" s="63">
        <f t="shared" si="3"/>
        <v>93591.666666666672</v>
      </c>
    </row>
    <row r="74" spans="1:10" s="230" customFormat="1">
      <c r="A74" s="230">
        <f t="shared" si="1"/>
        <v>65</v>
      </c>
      <c r="B74" s="231">
        <f t="shared" si="2"/>
        <v>46752</v>
      </c>
      <c r="C74" s="234"/>
      <c r="D74" s="233">
        <f t="shared" si="7"/>
        <v>5000000</v>
      </c>
      <c r="E74" s="232">
        <f t="shared" si="8"/>
        <v>62500</v>
      </c>
      <c r="F74" s="233">
        <f t="shared" si="6"/>
        <v>31736.25</v>
      </c>
      <c r="G74" s="232">
        <f t="shared" si="3"/>
        <v>94236.25</v>
      </c>
      <c r="I74" s="230">
        <f>SUM(E63:E74)</f>
        <v>750000</v>
      </c>
      <c r="J74" s="230">
        <f>SUM(F63:F74)</f>
        <v>398921.25000000006</v>
      </c>
    </row>
    <row r="75" spans="1:10">
      <c r="A75">
        <f t="shared" ref="A75:A138" si="9">A74+1</f>
        <v>66</v>
      </c>
      <c r="B75" s="229">
        <f t="shared" ref="B75:B138" si="10">EOMONTH(B74,1)</f>
        <v>46783</v>
      </c>
      <c r="C75" s="60"/>
      <c r="D75" s="64">
        <f t="shared" si="7"/>
        <v>4937500</v>
      </c>
      <c r="E75" s="63">
        <f t="shared" si="8"/>
        <v>62500</v>
      </c>
      <c r="F75" s="64">
        <f t="shared" si="6"/>
        <v>31344.444444444445</v>
      </c>
      <c r="G75" s="63">
        <f t="shared" si="3"/>
        <v>93844.444444444438</v>
      </c>
    </row>
    <row r="76" spans="1:10">
      <c r="A76">
        <f t="shared" si="9"/>
        <v>67</v>
      </c>
      <c r="B76" s="229">
        <f t="shared" si="10"/>
        <v>46812</v>
      </c>
      <c r="C76" s="60"/>
      <c r="D76" s="64">
        <f t="shared" si="7"/>
        <v>4875000</v>
      </c>
      <c r="E76" s="63">
        <f t="shared" si="8"/>
        <v>62500</v>
      </c>
      <c r="F76" s="64">
        <f t="shared" si="6"/>
        <v>28955.694444444445</v>
      </c>
      <c r="G76" s="63">
        <f t="shared" si="3"/>
        <v>91455.694444444438</v>
      </c>
    </row>
    <row r="77" spans="1:10">
      <c r="A77">
        <f t="shared" si="9"/>
        <v>68</v>
      </c>
      <c r="B77" s="229">
        <f t="shared" si="10"/>
        <v>46843</v>
      </c>
      <c r="C77" s="60"/>
      <c r="D77" s="64">
        <f t="shared" si="7"/>
        <v>4812500</v>
      </c>
      <c r="E77" s="63">
        <f t="shared" si="8"/>
        <v>62500</v>
      </c>
      <c r="F77" s="64">
        <f t="shared" si="6"/>
        <v>30560.833333333332</v>
      </c>
      <c r="G77" s="63">
        <f t="shared" ref="G77:G140" si="11">E77+F77</f>
        <v>93060.833333333328</v>
      </c>
    </row>
    <row r="78" spans="1:10">
      <c r="A78">
        <f t="shared" si="9"/>
        <v>69</v>
      </c>
      <c r="B78" s="229">
        <f t="shared" si="10"/>
        <v>46873</v>
      </c>
      <c r="C78" s="60"/>
      <c r="D78" s="64">
        <f t="shared" si="7"/>
        <v>4750000</v>
      </c>
      <c r="E78" s="63">
        <f t="shared" si="8"/>
        <v>62500</v>
      </c>
      <c r="F78" s="64">
        <f t="shared" si="6"/>
        <v>29195.833333333332</v>
      </c>
      <c r="G78" s="63">
        <f t="shared" si="11"/>
        <v>91695.833333333328</v>
      </c>
    </row>
    <row r="79" spans="1:10">
      <c r="A79">
        <f t="shared" si="9"/>
        <v>70</v>
      </c>
      <c r="B79" s="229">
        <f t="shared" si="10"/>
        <v>46904</v>
      </c>
      <c r="C79" s="60"/>
      <c r="D79" s="64">
        <f t="shared" si="7"/>
        <v>4687500</v>
      </c>
      <c r="E79" s="63">
        <f t="shared" si="8"/>
        <v>62500</v>
      </c>
      <c r="F79" s="64">
        <f t="shared" si="6"/>
        <v>29777.222222222223</v>
      </c>
      <c r="G79" s="63">
        <f t="shared" si="11"/>
        <v>92277.222222222219</v>
      </c>
    </row>
    <row r="80" spans="1:10">
      <c r="A80">
        <f t="shared" si="9"/>
        <v>71</v>
      </c>
      <c r="B80" s="229">
        <f t="shared" si="10"/>
        <v>46934</v>
      </c>
      <c r="C80" s="60"/>
      <c r="D80" s="64">
        <f t="shared" si="7"/>
        <v>4625000</v>
      </c>
      <c r="E80" s="63">
        <f t="shared" si="8"/>
        <v>62500</v>
      </c>
      <c r="F80" s="64">
        <f t="shared" si="6"/>
        <v>28437.5</v>
      </c>
      <c r="G80" s="63">
        <f t="shared" si="11"/>
        <v>90937.5</v>
      </c>
    </row>
    <row r="81" spans="1:10">
      <c r="A81">
        <f t="shared" si="9"/>
        <v>72</v>
      </c>
      <c r="B81" s="229">
        <f t="shared" si="10"/>
        <v>46965</v>
      </c>
      <c r="C81" s="60"/>
      <c r="D81" s="64">
        <f t="shared" si="7"/>
        <v>4562500</v>
      </c>
      <c r="E81" s="63">
        <f t="shared" si="8"/>
        <v>62500</v>
      </c>
      <c r="F81" s="64">
        <f t="shared" si="6"/>
        <v>28993.611111111109</v>
      </c>
      <c r="G81" s="63">
        <f t="shared" si="11"/>
        <v>91493.611111111109</v>
      </c>
    </row>
    <row r="82" spans="1:10">
      <c r="A82">
        <f t="shared" si="9"/>
        <v>73</v>
      </c>
      <c r="B82" s="229">
        <f t="shared" si="10"/>
        <v>46996</v>
      </c>
      <c r="C82" s="60"/>
      <c r="D82" s="64">
        <f t="shared" si="7"/>
        <v>4500000</v>
      </c>
      <c r="E82" s="63">
        <f t="shared" si="8"/>
        <v>62500</v>
      </c>
      <c r="F82" s="64">
        <f t="shared" si="6"/>
        <v>28601.805555555555</v>
      </c>
      <c r="G82" s="63">
        <f t="shared" si="11"/>
        <v>91101.805555555562</v>
      </c>
    </row>
    <row r="83" spans="1:10">
      <c r="A83">
        <f t="shared" si="9"/>
        <v>74</v>
      </c>
      <c r="B83" s="229">
        <f t="shared" si="10"/>
        <v>47026</v>
      </c>
      <c r="C83" s="60"/>
      <c r="D83" s="64">
        <f t="shared" si="7"/>
        <v>4437500</v>
      </c>
      <c r="E83" s="63">
        <f t="shared" si="8"/>
        <v>62500</v>
      </c>
      <c r="F83" s="64">
        <f t="shared" si="6"/>
        <v>27300</v>
      </c>
      <c r="G83" s="63">
        <f t="shared" si="11"/>
        <v>89800</v>
      </c>
    </row>
    <row r="84" spans="1:10">
      <c r="A84">
        <f t="shared" si="9"/>
        <v>75</v>
      </c>
      <c r="B84" s="229">
        <f t="shared" si="10"/>
        <v>47057</v>
      </c>
      <c r="C84" s="60"/>
      <c r="D84" s="64">
        <f t="shared" si="7"/>
        <v>4375000</v>
      </c>
      <c r="E84" s="63">
        <f t="shared" si="8"/>
        <v>62500</v>
      </c>
      <c r="F84" s="64">
        <f t="shared" si="6"/>
        <v>27818.194444444445</v>
      </c>
      <c r="G84" s="63">
        <f t="shared" si="11"/>
        <v>90318.194444444438</v>
      </c>
    </row>
    <row r="85" spans="1:10">
      <c r="A85">
        <f t="shared" si="9"/>
        <v>76</v>
      </c>
      <c r="B85" s="229">
        <f t="shared" si="10"/>
        <v>47087</v>
      </c>
      <c r="C85" s="60"/>
      <c r="D85" s="64">
        <f t="shared" si="7"/>
        <v>4312500</v>
      </c>
      <c r="E85" s="63">
        <f t="shared" si="8"/>
        <v>62500</v>
      </c>
      <c r="F85" s="64">
        <f t="shared" si="6"/>
        <v>26541.666666666668</v>
      </c>
      <c r="G85" s="63">
        <f t="shared" si="11"/>
        <v>89041.666666666672</v>
      </c>
    </row>
    <row r="86" spans="1:10" s="230" customFormat="1">
      <c r="A86" s="230">
        <f t="shared" si="9"/>
        <v>77</v>
      </c>
      <c r="B86" s="231">
        <f t="shared" si="10"/>
        <v>47118</v>
      </c>
      <c r="C86" s="234"/>
      <c r="D86" s="233">
        <f t="shared" si="7"/>
        <v>4250000</v>
      </c>
      <c r="E86" s="232">
        <f t="shared" si="8"/>
        <v>62500</v>
      </c>
      <c r="F86" s="233">
        <f t="shared" si="6"/>
        <v>27034.583333333332</v>
      </c>
      <c r="G86" s="232">
        <f t="shared" si="11"/>
        <v>89534.583333333328</v>
      </c>
      <c r="I86" s="230">
        <f>SUM(E75:E86)</f>
        <v>750000</v>
      </c>
      <c r="J86" s="230">
        <f>SUM(F75:F86)</f>
        <v>344561.38888888888</v>
      </c>
    </row>
    <row r="87" spans="1:10">
      <c r="A87">
        <f t="shared" si="9"/>
        <v>78</v>
      </c>
      <c r="B87" s="229">
        <f t="shared" si="10"/>
        <v>47149</v>
      </c>
      <c r="C87" s="60"/>
      <c r="D87" s="64">
        <f t="shared" si="7"/>
        <v>4187500</v>
      </c>
      <c r="E87" s="63">
        <f t="shared" si="8"/>
        <v>62500</v>
      </c>
      <c r="F87" s="64">
        <f t="shared" si="6"/>
        <v>26642.777777777777</v>
      </c>
      <c r="G87" s="63">
        <f t="shared" si="11"/>
        <v>89142.777777777781</v>
      </c>
    </row>
    <row r="88" spans="1:10">
      <c r="A88">
        <f t="shared" si="9"/>
        <v>79</v>
      </c>
      <c r="B88" s="229">
        <f t="shared" si="10"/>
        <v>47177</v>
      </c>
      <c r="C88" s="60"/>
      <c r="D88" s="64">
        <f t="shared" si="7"/>
        <v>4125000</v>
      </c>
      <c r="E88" s="63">
        <f t="shared" si="8"/>
        <v>62500</v>
      </c>
      <c r="F88" s="64">
        <f t="shared" si="6"/>
        <v>23710.555555555555</v>
      </c>
      <c r="G88" s="63">
        <f t="shared" si="11"/>
        <v>86210.555555555562</v>
      </c>
    </row>
    <row r="89" spans="1:10">
      <c r="A89">
        <f t="shared" si="9"/>
        <v>80</v>
      </c>
      <c r="B89" s="229">
        <f t="shared" si="10"/>
        <v>47208</v>
      </c>
      <c r="C89" s="60"/>
      <c r="D89" s="64">
        <f t="shared" si="7"/>
        <v>4062500</v>
      </c>
      <c r="E89" s="63">
        <f t="shared" si="8"/>
        <v>62500</v>
      </c>
      <c r="F89" s="64">
        <f t="shared" si="6"/>
        <v>25859.166666666668</v>
      </c>
      <c r="G89" s="63">
        <f t="shared" si="11"/>
        <v>88359.166666666672</v>
      </c>
    </row>
    <row r="90" spans="1:10">
      <c r="A90">
        <f t="shared" si="9"/>
        <v>81</v>
      </c>
      <c r="B90" s="229">
        <f t="shared" si="10"/>
        <v>47238</v>
      </c>
      <c r="C90" s="60"/>
      <c r="D90" s="64">
        <f t="shared" si="7"/>
        <v>4000000</v>
      </c>
      <c r="E90" s="63">
        <f t="shared" si="8"/>
        <v>62500</v>
      </c>
      <c r="F90" s="64">
        <f t="shared" si="6"/>
        <v>24645.833333333332</v>
      </c>
      <c r="G90" s="63">
        <f t="shared" si="11"/>
        <v>87145.833333333328</v>
      </c>
    </row>
    <row r="91" spans="1:10">
      <c r="A91">
        <f t="shared" si="9"/>
        <v>82</v>
      </c>
      <c r="B91" s="229">
        <f t="shared" si="10"/>
        <v>47269</v>
      </c>
      <c r="C91" s="60"/>
      <c r="D91" s="64">
        <f t="shared" si="7"/>
        <v>3937500</v>
      </c>
      <c r="E91" s="63">
        <f t="shared" si="8"/>
        <v>62500</v>
      </c>
      <c r="F91" s="64">
        <f t="shared" si="6"/>
        <v>25075.555555555555</v>
      </c>
      <c r="G91" s="63">
        <f t="shared" si="11"/>
        <v>87575.555555555562</v>
      </c>
    </row>
    <row r="92" spans="1:10">
      <c r="A92">
        <f t="shared" si="9"/>
        <v>83</v>
      </c>
      <c r="B92" s="229">
        <f t="shared" si="10"/>
        <v>47299</v>
      </c>
      <c r="C92" s="60"/>
      <c r="D92" s="64">
        <f t="shared" si="7"/>
        <v>3875000</v>
      </c>
      <c r="E92" s="63">
        <f t="shared" si="8"/>
        <v>62500</v>
      </c>
      <c r="F92" s="64">
        <f t="shared" si="6"/>
        <v>23887.5</v>
      </c>
      <c r="G92" s="63">
        <f t="shared" si="11"/>
        <v>86387.5</v>
      </c>
    </row>
    <row r="93" spans="1:10">
      <c r="A93">
        <f t="shared" si="9"/>
        <v>84</v>
      </c>
      <c r="B93" s="229">
        <f t="shared" si="10"/>
        <v>47330</v>
      </c>
      <c r="C93" s="60"/>
      <c r="D93" s="64">
        <f t="shared" ref="D93:D152" si="12">D92-E92</f>
        <v>3812500</v>
      </c>
      <c r="E93" s="63">
        <f t="shared" si="8"/>
        <v>62500</v>
      </c>
      <c r="F93" s="64">
        <f t="shared" ref="F93:F152" si="13">(B93-B92)*$D$4*D92/360</f>
        <v>24291.944444444445</v>
      </c>
      <c r="G93" s="63">
        <f t="shared" si="11"/>
        <v>86791.944444444438</v>
      </c>
    </row>
    <row r="94" spans="1:10">
      <c r="A94">
        <f t="shared" si="9"/>
        <v>85</v>
      </c>
      <c r="B94" s="229">
        <f t="shared" si="10"/>
        <v>47361</v>
      </c>
      <c r="C94" s="60"/>
      <c r="D94" s="64">
        <f t="shared" si="12"/>
        <v>3750000</v>
      </c>
      <c r="E94" s="63">
        <f t="shared" si="8"/>
        <v>62500</v>
      </c>
      <c r="F94" s="64">
        <f t="shared" si="13"/>
        <v>23900.138888888891</v>
      </c>
      <c r="G94" s="63">
        <f t="shared" si="11"/>
        <v>86400.138888888891</v>
      </c>
    </row>
    <row r="95" spans="1:10">
      <c r="A95">
        <f t="shared" si="9"/>
        <v>86</v>
      </c>
      <c r="B95" s="229">
        <f t="shared" si="10"/>
        <v>47391</v>
      </c>
      <c r="C95" s="60"/>
      <c r="D95" s="64">
        <f t="shared" si="12"/>
        <v>3687500</v>
      </c>
      <c r="E95" s="63">
        <f t="shared" si="8"/>
        <v>62500</v>
      </c>
      <c r="F95" s="64">
        <f t="shared" si="13"/>
        <v>22750.000000000004</v>
      </c>
      <c r="G95" s="63">
        <f t="shared" si="11"/>
        <v>85250</v>
      </c>
    </row>
    <row r="96" spans="1:10">
      <c r="A96">
        <f t="shared" si="9"/>
        <v>87</v>
      </c>
      <c r="B96" s="229">
        <f t="shared" si="10"/>
        <v>47422</v>
      </c>
      <c r="C96" s="60"/>
      <c r="D96" s="64">
        <f t="shared" si="12"/>
        <v>3625000</v>
      </c>
      <c r="E96" s="63">
        <f t="shared" si="8"/>
        <v>62500</v>
      </c>
      <c r="F96" s="64">
        <f t="shared" si="13"/>
        <v>23116.527777777781</v>
      </c>
      <c r="G96" s="63">
        <f t="shared" si="11"/>
        <v>85616.527777777781</v>
      </c>
    </row>
    <row r="97" spans="1:10">
      <c r="A97">
        <f t="shared" si="9"/>
        <v>88</v>
      </c>
      <c r="B97" s="229">
        <f t="shared" si="10"/>
        <v>47452</v>
      </c>
      <c r="C97" s="60"/>
      <c r="D97" s="64">
        <f t="shared" si="12"/>
        <v>3562500</v>
      </c>
      <c r="E97" s="63">
        <f t="shared" si="8"/>
        <v>62500</v>
      </c>
      <c r="F97" s="64">
        <f t="shared" si="13"/>
        <v>21991.666666666668</v>
      </c>
      <c r="G97" s="63">
        <f t="shared" si="11"/>
        <v>84491.666666666672</v>
      </c>
    </row>
    <row r="98" spans="1:10" s="230" customFormat="1">
      <c r="A98" s="230">
        <f t="shared" si="9"/>
        <v>89</v>
      </c>
      <c r="B98" s="231">
        <f t="shared" si="10"/>
        <v>47483</v>
      </c>
      <c r="C98" s="234"/>
      <c r="D98" s="233">
        <f t="shared" si="12"/>
        <v>3500000</v>
      </c>
      <c r="E98" s="232">
        <f t="shared" si="8"/>
        <v>62500</v>
      </c>
      <c r="F98" s="233">
        <f t="shared" si="13"/>
        <v>22332.916666666668</v>
      </c>
      <c r="G98" s="232">
        <f t="shared" si="11"/>
        <v>84832.916666666672</v>
      </c>
      <c r="I98" s="230">
        <f>SUM(E87:E98)</f>
        <v>750000</v>
      </c>
      <c r="J98" s="230">
        <f>SUM(F87:F98)</f>
        <v>288204.58333333331</v>
      </c>
    </row>
    <row r="99" spans="1:10">
      <c r="A99">
        <f t="shared" si="9"/>
        <v>90</v>
      </c>
      <c r="B99" s="229">
        <f t="shared" si="10"/>
        <v>47514</v>
      </c>
      <c r="C99" s="60"/>
      <c r="D99" s="64">
        <f t="shared" si="12"/>
        <v>3437500</v>
      </c>
      <c r="E99" s="63">
        <f t="shared" ref="E99:E153" si="14">E98</f>
        <v>62500</v>
      </c>
      <c r="F99" s="64">
        <f t="shared" si="13"/>
        <v>21941.111111111113</v>
      </c>
      <c r="G99" s="63">
        <f t="shared" si="11"/>
        <v>84441.111111111109</v>
      </c>
    </row>
    <row r="100" spans="1:10">
      <c r="A100">
        <f t="shared" si="9"/>
        <v>91</v>
      </c>
      <c r="B100" s="229">
        <f t="shared" si="10"/>
        <v>47542</v>
      </c>
      <c r="C100" s="60"/>
      <c r="D100" s="64">
        <f t="shared" si="12"/>
        <v>3375000</v>
      </c>
      <c r="E100" s="63">
        <f t="shared" si="14"/>
        <v>62500</v>
      </c>
      <c r="F100" s="64">
        <f t="shared" si="13"/>
        <v>19463.888888888891</v>
      </c>
      <c r="G100" s="63">
        <f t="shared" si="11"/>
        <v>81963.888888888891</v>
      </c>
    </row>
    <row r="101" spans="1:10">
      <c r="A101">
        <f t="shared" si="9"/>
        <v>92</v>
      </c>
      <c r="B101" s="229">
        <f t="shared" si="10"/>
        <v>47573</v>
      </c>
      <c r="C101" s="60"/>
      <c r="D101" s="64">
        <f t="shared" si="12"/>
        <v>3312500</v>
      </c>
      <c r="E101" s="63">
        <f t="shared" si="14"/>
        <v>62500</v>
      </c>
      <c r="F101" s="64">
        <f t="shared" si="13"/>
        <v>21157.500000000004</v>
      </c>
      <c r="G101" s="63">
        <f t="shared" si="11"/>
        <v>83657.5</v>
      </c>
    </row>
    <row r="102" spans="1:10">
      <c r="A102">
        <f t="shared" si="9"/>
        <v>93</v>
      </c>
      <c r="B102" s="229">
        <f t="shared" si="10"/>
        <v>47603</v>
      </c>
      <c r="C102" s="60"/>
      <c r="D102" s="64">
        <f t="shared" si="12"/>
        <v>3250000</v>
      </c>
      <c r="E102" s="63">
        <f t="shared" si="14"/>
        <v>62500</v>
      </c>
      <c r="F102" s="64">
        <f t="shared" si="13"/>
        <v>20095.833333333336</v>
      </c>
      <c r="G102" s="63">
        <f t="shared" si="11"/>
        <v>82595.833333333343</v>
      </c>
    </row>
    <row r="103" spans="1:10">
      <c r="A103">
        <f t="shared" si="9"/>
        <v>94</v>
      </c>
      <c r="B103" s="229">
        <f t="shared" si="10"/>
        <v>47634</v>
      </c>
      <c r="C103" s="60"/>
      <c r="D103" s="64">
        <f t="shared" si="12"/>
        <v>3187500</v>
      </c>
      <c r="E103" s="63">
        <f t="shared" si="14"/>
        <v>62500</v>
      </c>
      <c r="F103" s="64">
        <f t="shared" si="13"/>
        <v>20373.888888888891</v>
      </c>
      <c r="G103" s="63">
        <f t="shared" si="11"/>
        <v>82873.888888888891</v>
      </c>
    </row>
    <row r="104" spans="1:10">
      <c r="A104">
        <f t="shared" si="9"/>
        <v>95</v>
      </c>
      <c r="B104" s="229">
        <f t="shared" si="10"/>
        <v>47664</v>
      </c>
      <c r="C104" s="60"/>
      <c r="D104" s="64">
        <f t="shared" si="12"/>
        <v>3125000</v>
      </c>
      <c r="E104" s="63">
        <f t="shared" si="14"/>
        <v>62500</v>
      </c>
      <c r="F104" s="64">
        <f t="shared" si="13"/>
        <v>19337.500000000004</v>
      </c>
      <c r="G104" s="63">
        <f t="shared" si="11"/>
        <v>81837.5</v>
      </c>
    </row>
    <row r="105" spans="1:10">
      <c r="A105">
        <f t="shared" si="9"/>
        <v>96</v>
      </c>
      <c r="B105" s="229">
        <f t="shared" si="10"/>
        <v>47695</v>
      </c>
      <c r="C105" s="60"/>
      <c r="D105" s="64">
        <f t="shared" si="12"/>
        <v>3062500</v>
      </c>
      <c r="E105" s="63">
        <f t="shared" si="14"/>
        <v>62500</v>
      </c>
      <c r="F105" s="64">
        <f t="shared" si="13"/>
        <v>19590.277777777777</v>
      </c>
      <c r="G105" s="63">
        <f t="shared" si="11"/>
        <v>82090.277777777781</v>
      </c>
    </row>
    <row r="106" spans="1:10">
      <c r="A106">
        <f t="shared" si="9"/>
        <v>97</v>
      </c>
      <c r="B106" s="229">
        <f t="shared" si="10"/>
        <v>47726</v>
      </c>
      <c r="C106" s="60"/>
      <c r="D106" s="64">
        <f t="shared" si="12"/>
        <v>3000000</v>
      </c>
      <c r="E106" s="63">
        <f t="shared" si="14"/>
        <v>62500</v>
      </c>
      <c r="F106" s="64">
        <f t="shared" si="13"/>
        <v>19198.472222222223</v>
      </c>
      <c r="G106" s="63">
        <f t="shared" si="11"/>
        <v>81698.472222222219</v>
      </c>
    </row>
    <row r="107" spans="1:10">
      <c r="A107">
        <f t="shared" si="9"/>
        <v>98</v>
      </c>
      <c r="B107" s="229">
        <f t="shared" si="10"/>
        <v>47756</v>
      </c>
      <c r="C107" s="60"/>
      <c r="D107" s="64">
        <f t="shared" si="12"/>
        <v>2937500</v>
      </c>
      <c r="E107" s="63">
        <f t="shared" si="14"/>
        <v>62500</v>
      </c>
      <c r="F107" s="64">
        <f t="shared" si="13"/>
        <v>18200.000000000004</v>
      </c>
      <c r="G107" s="63">
        <f t="shared" si="11"/>
        <v>80700</v>
      </c>
    </row>
    <row r="108" spans="1:10">
      <c r="A108">
        <f t="shared" si="9"/>
        <v>99</v>
      </c>
      <c r="B108" s="229">
        <f t="shared" si="10"/>
        <v>47787</v>
      </c>
      <c r="C108" s="60"/>
      <c r="D108" s="64">
        <f t="shared" si="12"/>
        <v>2875000</v>
      </c>
      <c r="E108" s="63">
        <f t="shared" si="14"/>
        <v>62500</v>
      </c>
      <c r="F108" s="64">
        <f t="shared" si="13"/>
        <v>18414.861111111109</v>
      </c>
      <c r="G108" s="63">
        <f t="shared" si="11"/>
        <v>80914.861111111109</v>
      </c>
    </row>
    <row r="109" spans="1:10">
      <c r="A109">
        <f t="shared" si="9"/>
        <v>100</v>
      </c>
      <c r="B109" s="229">
        <f t="shared" si="10"/>
        <v>47817</v>
      </c>
      <c r="C109" s="60"/>
      <c r="D109" s="64">
        <f t="shared" si="12"/>
        <v>2812500</v>
      </c>
      <c r="E109" s="63">
        <f t="shared" si="14"/>
        <v>62500</v>
      </c>
      <c r="F109" s="64">
        <f t="shared" si="13"/>
        <v>17441.666666666668</v>
      </c>
      <c r="G109" s="63">
        <f t="shared" si="11"/>
        <v>79941.666666666672</v>
      </c>
    </row>
    <row r="110" spans="1:10" s="230" customFormat="1">
      <c r="A110" s="230">
        <f t="shared" si="9"/>
        <v>101</v>
      </c>
      <c r="B110" s="231">
        <f t="shared" si="10"/>
        <v>47848</v>
      </c>
      <c r="C110" s="234"/>
      <c r="D110" s="233">
        <f t="shared" si="12"/>
        <v>2750000</v>
      </c>
      <c r="E110" s="232">
        <f t="shared" si="14"/>
        <v>62500</v>
      </c>
      <c r="F110" s="233">
        <f t="shared" si="13"/>
        <v>17631.25</v>
      </c>
      <c r="G110" s="232">
        <f t="shared" si="11"/>
        <v>80131.25</v>
      </c>
      <c r="I110" s="230">
        <f>SUM(E99:E110)</f>
        <v>750000</v>
      </c>
      <c r="J110" s="230">
        <f>SUM(F99:F110)</f>
        <v>232846.24999999997</v>
      </c>
    </row>
    <row r="111" spans="1:10">
      <c r="A111">
        <f t="shared" si="9"/>
        <v>102</v>
      </c>
      <c r="B111" s="229">
        <f t="shared" si="10"/>
        <v>47879</v>
      </c>
      <c r="C111" s="60"/>
      <c r="D111" s="64">
        <f t="shared" si="12"/>
        <v>2687500</v>
      </c>
      <c r="E111" s="63">
        <f t="shared" si="14"/>
        <v>62500</v>
      </c>
      <c r="F111" s="64">
        <f t="shared" si="13"/>
        <v>17239.444444444445</v>
      </c>
      <c r="G111" s="63">
        <f t="shared" si="11"/>
        <v>79739.444444444438</v>
      </c>
    </row>
    <row r="112" spans="1:10">
      <c r="A112">
        <f t="shared" si="9"/>
        <v>103</v>
      </c>
      <c r="B112" s="229">
        <f t="shared" si="10"/>
        <v>47907</v>
      </c>
      <c r="C112" s="60"/>
      <c r="D112" s="64">
        <f t="shared" si="12"/>
        <v>2625000</v>
      </c>
      <c r="E112" s="63">
        <f t="shared" si="14"/>
        <v>62500</v>
      </c>
      <c r="F112" s="64">
        <f t="shared" si="13"/>
        <v>15217.222222222224</v>
      </c>
      <c r="G112" s="63">
        <f t="shared" si="11"/>
        <v>77717.222222222219</v>
      </c>
    </row>
    <row r="113" spans="1:10">
      <c r="A113">
        <f t="shared" si="9"/>
        <v>104</v>
      </c>
      <c r="B113" s="229">
        <f t="shared" si="10"/>
        <v>47938</v>
      </c>
      <c r="C113" s="60"/>
      <c r="D113" s="64">
        <f t="shared" si="12"/>
        <v>2562500</v>
      </c>
      <c r="E113" s="63">
        <f t="shared" si="14"/>
        <v>62500</v>
      </c>
      <c r="F113" s="64">
        <f t="shared" si="13"/>
        <v>16455.833333333332</v>
      </c>
      <c r="G113" s="63">
        <f t="shared" si="11"/>
        <v>78955.833333333328</v>
      </c>
    </row>
    <row r="114" spans="1:10">
      <c r="A114">
        <f t="shared" si="9"/>
        <v>105</v>
      </c>
      <c r="B114" s="229">
        <f t="shared" si="10"/>
        <v>47968</v>
      </c>
      <c r="C114" s="60"/>
      <c r="D114" s="64">
        <f t="shared" si="12"/>
        <v>2500000</v>
      </c>
      <c r="E114" s="63">
        <f t="shared" si="14"/>
        <v>62500</v>
      </c>
      <c r="F114" s="64">
        <f t="shared" si="13"/>
        <v>15545.833333333334</v>
      </c>
      <c r="G114" s="63">
        <f t="shared" si="11"/>
        <v>78045.833333333328</v>
      </c>
    </row>
    <row r="115" spans="1:10">
      <c r="A115">
        <f t="shared" si="9"/>
        <v>106</v>
      </c>
      <c r="B115" s="229">
        <f t="shared" si="10"/>
        <v>47999</v>
      </c>
      <c r="C115" s="60"/>
      <c r="D115" s="64">
        <f t="shared" si="12"/>
        <v>2437500</v>
      </c>
      <c r="E115" s="63">
        <f t="shared" si="14"/>
        <v>62500</v>
      </c>
      <c r="F115" s="64">
        <f t="shared" si="13"/>
        <v>15672.222222222223</v>
      </c>
      <c r="G115" s="63">
        <f t="shared" si="11"/>
        <v>78172.222222222219</v>
      </c>
    </row>
    <row r="116" spans="1:10">
      <c r="A116">
        <f t="shared" si="9"/>
        <v>107</v>
      </c>
      <c r="B116" s="229">
        <f t="shared" si="10"/>
        <v>48029</v>
      </c>
      <c r="C116" s="60"/>
      <c r="D116" s="64">
        <f t="shared" si="12"/>
        <v>2375000</v>
      </c>
      <c r="E116" s="63">
        <f t="shared" si="14"/>
        <v>62500</v>
      </c>
      <c r="F116" s="64">
        <f t="shared" si="13"/>
        <v>14787.5</v>
      </c>
      <c r="G116" s="63">
        <f t="shared" si="11"/>
        <v>77287.5</v>
      </c>
    </row>
    <row r="117" spans="1:10">
      <c r="A117">
        <f t="shared" si="9"/>
        <v>108</v>
      </c>
      <c r="B117" s="229">
        <f t="shared" si="10"/>
        <v>48060</v>
      </c>
      <c r="C117" s="60"/>
      <c r="D117" s="64">
        <f t="shared" si="12"/>
        <v>2312500</v>
      </c>
      <c r="E117" s="63">
        <f t="shared" si="14"/>
        <v>62500</v>
      </c>
      <c r="F117" s="64">
        <f t="shared" si="13"/>
        <v>14888.611111111111</v>
      </c>
      <c r="G117" s="63">
        <f t="shared" si="11"/>
        <v>77388.611111111109</v>
      </c>
    </row>
    <row r="118" spans="1:10">
      <c r="A118">
        <f t="shared" si="9"/>
        <v>109</v>
      </c>
      <c r="B118" s="229">
        <f t="shared" si="10"/>
        <v>48091</v>
      </c>
      <c r="C118" s="60"/>
      <c r="D118" s="64">
        <f t="shared" si="12"/>
        <v>2250000</v>
      </c>
      <c r="E118" s="63">
        <f t="shared" si="14"/>
        <v>62500</v>
      </c>
      <c r="F118" s="64">
        <f t="shared" si="13"/>
        <v>14496.805555555555</v>
      </c>
      <c r="G118" s="63">
        <f t="shared" si="11"/>
        <v>76996.805555555562</v>
      </c>
    </row>
    <row r="119" spans="1:10">
      <c r="A119">
        <f t="shared" si="9"/>
        <v>110</v>
      </c>
      <c r="B119" s="229">
        <f t="shared" si="10"/>
        <v>48121</v>
      </c>
      <c r="C119" s="60"/>
      <c r="D119" s="64">
        <f t="shared" si="12"/>
        <v>2187500</v>
      </c>
      <c r="E119" s="63">
        <f t="shared" si="14"/>
        <v>62500</v>
      </c>
      <c r="F119" s="64">
        <f t="shared" si="13"/>
        <v>13650</v>
      </c>
      <c r="G119" s="63">
        <f t="shared" si="11"/>
        <v>76150</v>
      </c>
    </row>
    <row r="120" spans="1:10">
      <c r="A120">
        <f t="shared" si="9"/>
        <v>111</v>
      </c>
      <c r="B120" s="229">
        <f t="shared" si="10"/>
        <v>48152</v>
      </c>
      <c r="C120" s="60"/>
      <c r="D120" s="64">
        <f t="shared" si="12"/>
        <v>2125000</v>
      </c>
      <c r="E120" s="63">
        <f t="shared" si="14"/>
        <v>62500</v>
      </c>
      <c r="F120" s="64">
        <f t="shared" si="13"/>
        <v>13713.194444444445</v>
      </c>
      <c r="G120" s="63">
        <f t="shared" si="11"/>
        <v>76213.194444444438</v>
      </c>
    </row>
    <row r="121" spans="1:10">
      <c r="A121">
        <f t="shared" si="9"/>
        <v>112</v>
      </c>
      <c r="B121" s="229">
        <f t="shared" si="10"/>
        <v>48182</v>
      </c>
      <c r="C121" s="60"/>
      <c r="D121" s="64">
        <f t="shared" si="12"/>
        <v>2062500</v>
      </c>
      <c r="E121" s="63">
        <f t="shared" si="14"/>
        <v>62500</v>
      </c>
      <c r="F121" s="64">
        <f t="shared" si="13"/>
        <v>12891.666666666666</v>
      </c>
      <c r="G121" s="63">
        <f t="shared" si="11"/>
        <v>75391.666666666672</v>
      </c>
    </row>
    <row r="122" spans="1:10" s="230" customFormat="1">
      <c r="A122" s="230">
        <f t="shared" si="9"/>
        <v>113</v>
      </c>
      <c r="B122" s="231">
        <f t="shared" si="10"/>
        <v>48213</v>
      </c>
      <c r="C122" s="234"/>
      <c r="D122" s="233">
        <f t="shared" si="12"/>
        <v>2000000</v>
      </c>
      <c r="E122" s="232">
        <f t="shared" si="14"/>
        <v>62500</v>
      </c>
      <c r="F122" s="233">
        <f t="shared" si="13"/>
        <v>12929.583333333334</v>
      </c>
      <c r="G122" s="232">
        <f t="shared" si="11"/>
        <v>75429.583333333328</v>
      </c>
      <c r="I122" s="230">
        <f>SUM(E111:E122)</f>
        <v>750000</v>
      </c>
      <c r="J122" s="230">
        <f>SUM(F111:F122)</f>
        <v>177487.91666666666</v>
      </c>
    </row>
    <row r="123" spans="1:10">
      <c r="A123">
        <f t="shared" si="9"/>
        <v>114</v>
      </c>
      <c r="B123" s="229">
        <f t="shared" si="10"/>
        <v>48244</v>
      </c>
      <c r="C123" s="60"/>
      <c r="D123" s="64">
        <f t="shared" si="12"/>
        <v>1937500</v>
      </c>
      <c r="E123" s="63">
        <f t="shared" si="14"/>
        <v>62500</v>
      </c>
      <c r="F123" s="64">
        <f t="shared" si="13"/>
        <v>12537.777777777777</v>
      </c>
      <c r="G123" s="63">
        <f t="shared" si="11"/>
        <v>75037.777777777781</v>
      </c>
    </row>
    <row r="124" spans="1:10">
      <c r="A124">
        <f t="shared" si="9"/>
        <v>115</v>
      </c>
      <c r="B124" s="229">
        <f t="shared" si="10"/>
        <v>48273</v>
      </c>
      <c r="C124" s="60"/>
      <c r="D124" s="64">
        <f t="shared" si="12"/>
        <v>1875000</v>
      </c>
      <c r="E124" s="63">
        <f t="shared" si="14"/>
        <v>62500</v>
      </c>
      <c r="F124" s="64">
        <f t="shared" si="13"/>
        <v>11362.361111111113</v>
      </c>
      <c r="G124" s="63">
        <f t="shared" si="11"/>
        <v>73862.361111111109</v>
      </c>
    </row>
    <row r="125" spans="1:10">
      <c r="A125">
        <f t="shared" si="9"/>
        <v>116</v>
      </c>
      <c r="B125" s="229">
        <f t="shared" si="10"/>
        <v>48304</v>
      </c>
      <c r="C125" s="60"/>
      <c r="D125" s="64">
        <f t="shared" si="12"/>
        <v>1812500</v>
      </c>
      <c r="E125" s="63">
        <f t="shared" si="14"/>
        <v>62500</v>
      </c>
      <c r="F125" s="64">
        <f t="shared" si="13"/>
        <v>11754.166666666666</v>
      </c>
      <c r="G125" s="63">
        <f t="shared" si="11"/>
        <v>74254.166666666672</v>
      </c>
    </row>
    <row r="126" spans="1:10">
      <c r="A126">
        <f t="shared" si="9"/>
        <v>117</v>
      </c>
      <c r="B126" s="229">
        <f t="shared" si="10"/>
        <v>48334</v>
      </c>
      <c r="C126" s="60"/>
      <c r="D126" s="64">
        <f t="shared" si="12"/>
        <v>1750000</v>
      </c>
      <c r="E126" s="63">
        <f t="shared" si="14"/>
        <v>62500</v>
      </c>
      <c r="F126" s="64">
        <f t="shared" si="13"/>
        <v>10995.833333333334</v>
      </c>
      <c r="G126" s="63">
        <f t="shared" si="11"/>
        <v>73495.833333333328</v>
      </c>
    </row>
    <row r="127" spans="1:10">
      <c r="A127">
        <f t="shared" si="9"/>
        <v>118</v>
      </c>
      <c r="B127" s="229">
        <f t="shared" si="10"/>
        <v>48365</v>
      </c>
      <c r="C127" s="60"/>
      <c r="D127" s="64">
        <f t="shared" si="12"/>
        <v>1687500</v>
      </c>
      <c r="E127" s="63">
        <f t="shared" si="14"/>
        <v>62500</v>
      </c>
      <c r="F127" s="64">
        <f t="shared" si="13"/>
        <v>10970.555555555557</v>
      </c>
      <c r="G127" s="63">
        <f t="shared" si="11"/>
        <v>73470.555555555562</v>
      </c>
    </row>
    <row r="128" spans="1:10">
      <c r="A128">
        <f t="shared" si="9"/>
        <v>119</v>
      </c>
      <c r="B128" s="229">
        <f t="shared" si="10"/>
        <v>48395</v>
      </c>
      <c r="C128" s="60"/>
      <c r="D128" s="64">
        <f t="shared" si="12"/>
        <v>1625000</v>
      </c>
      <c r="E128" s="63">
        <f t="shared" si="14"/>
        <v>62500</v>
      </c>
      <c r="F128" s="64">
        <f t="shared" si="13"/>
        <v>10237.500000000002</v>
      </c>
      <c r="G128" s="63">
        <f t="shared" si="11"/>
        <v>72737.5</v>
      </c>
    </row>
    <row r="129" spans="1:10">
      <c r="A129">
        <f t="shared" si="9"/>
        <v>120</v>
      </c>
      <c r="B129" s="229">
        <f t="shared" si="10"/>
        <v>48426</v>
      </c>
      <c r="C129" s="60"/>
      <c r="D129" s="64">
        <f t="shared" si="12"/>
        <v>1562500</v>
      </c>
      <c r="E129" s="63">
        <f t="shared" si="14"/>
        <v>62500</v>
      </c>
      <c r="F129" s="64">
        <f t="shared" si="13"/>
        <v>10186.944444444445</v>
      </c>
      <c r="G129" s="63">
        <f t="shared" si="11"/>
        <v>72686.944444444438</v>
      </c>
    </row>
    <row r="130" spans="1:10">
      <c r="A130">
        <f t="shared" si="9"/>
        <v>121</v>
      </c>
      <c r="B130" s="229">
        <f t="shared" si="10"/>
        <v>48457</v>
      </c>
      <c r="C130" s="60"/>
      <c r="D130" s="64">
        <f t="shared" si="12"/>
        <v>1500000</v>
      </c>
      <c r="E130" s="63">
        <f t="shared" si="14"/>
        <v>62500</v>
      </c>
      <c r="F130" s="64">
        <f t="shared" si="13"/>
        <v>9795.1388888888887</v>
      </c>
      <c r="G130" s="63">
        <f t="shared" si="11"/>
        <v>72295.138888888891</v>
      </c>
    </row>
    <row r="131" spans="1:10">
      <c r="A131">
        <f t="shared" si="9"/>
        <v>122</v>
      </c>
      <c r="B131" s="229">
        <f t="shared" si="10"/>
        <v>48487</v>
      </c>
      <c r="C131" s="60"/>
      <c r="D131" s="64">
        <f t="shared" si="12"/>
        <v>1437500</v>
      </c>
      <c r="E131" s="63">
        <f t="shared" si="14"/>
        <v>62500</v>
      </c>
      <c r="F131" s="64">
        <f t="shared" si="13"/>
        <v>9100.0000000000018</v>
      </c>
      <c r="G131" s="63">
        <f t="shared" si="11"/>
        <v>71600</v>
      </c>
    </row>
    <row r="132" spans="1:10">
      <c r="A132">
        <f t="shared" si="9"/>
        <v>123</v>
      </c>
      <c r="B132" s="229">
        <f t="shared" si="10"/>
        <v>48518</v>
      </c>
      <c r="C132" s="60"/>
      <c r="D132" s="64">
        <f t="shared" si="12"/>
        <v>1375000</v>
      </c>
      <c r="E132" s="63">
        <f t="shared" si="14"/>
        <v>62500</v>
      </c>
      <c r="F132" s="64">
        <f t="shared" si="13"/>
        <v>9011.5277777777774</v>
      </c>
      <c r="G132" s="63">
        <f t="shared" si="11"/>
        <v>71511.527777777781</v>
      </c>
    </row>
    <row r="133" spans="1:10">
      <c r="A133">
        <f t="shared" si="9"/>
        <v>124</v>
      </c>
      <c r="B133" s="229">
        <f t="shared" si="10"/>
        <v>48548</v>
      </c>
      <c r="C133" s="60"/>
      <c r="D133" s="64">
        <f t="shared" si="12"/>
        <v>1312500</v>
      </c>
      <c r="E133" s="63">
        <f t="shared" si="14"/>
        <v>62500</v>
      </c>
      <c r="F133" s="64">
        <f t="shared" si="13"/>
        <v>8341.6666666666661</v>
      </c>
      <c r="G133" s="63">
        <f t="shared" si="11"/>
        <v>70841.666666666672</v>
      </c>
    </row>
    <row r="134" spans="1:10" s="230" customFormat="1">
      <c r="A134" s="230">
        <f t="shared" si="9"/>
        <v>125</v>
      </c>
      <c r="B134" s="231">
        <f t="shared" si="10"/>
        <v>48579</v>
      </c>
      <c r="C134" s="234"/>
      <c r="D134" s="233">
        <f t="shared" si="12"/>
        <v>1250000</v>
      </c>
      <c r="E134" s="232">
        <f t="shared" si="14"/>
        <v>62500</v>
      </c>
      <c r="F134" s="233">
        <f t="shared" si="13"/>
        <v>8227.9166666666661</v>
      </c>
      <c r="G134" s="232">
        <f t="shared" si="11"/>
        <v>70727.916666666672</v>
      </c>
      <c r="I134" s="230">
        <f>SUM(E123:E134)</f>
        <v>750000</v>
      </c>
      <c r="J134" s="230">
        <f>SUM(F123:F134)</f>
        <v>122521.38888888892</v>
      </c>
    </row>
    <row r="135" spans="1:10">
      <c r="A135">
        <f t="shared" si="9"/>
        <v>126</v>
      </c>
      <c r="B135" s="229">
        <f t="shared" si="10"/>
        <v>48610</v>
      </c>
      <c r="C135" s="60"/>
      <c r="D135" s="64">
        <f t="shared" si="12"/>
        <v>1187500</v>
      </c>
      <c r="E135" s="63">
        <f t="shared" si="14"/>
        <v>62500</v>
      </c>
      <c r="F135" s="64">
        <f t="shared" si="13"/>
        <v>7836.1111111111113</v>
      </c>
      <c r="G135" s="63">
        <f t="shared" si="11"/>
        <v>70336.111111111109</v>
      </c>
    </row>
    <row r="136" spans="1:10">
      <c r="A136">
        <f t="shared" si="9"/>
        <v>127</v>
      </c>
      <c r="B136" s="229">
        <f t="shared" si="10"/>
        <v>48638</v>
      </c>
      <c r="C136" s="60"/>
      <c r="D136" s="64">
        <f t="shared" si="12"/>
        <v>1125000</v>
      </c>
      <c r="E136" s="63">
        <f t="shared" si="14"/>
        <v>62500</v>
      </c>
      <c r="F136" s="64">
        <f t="shared" si="13"/>
        <v>6723.8888888888905</v>
      </c>
      <c r="G136" s="63">
        <f t="shared" si="11"/>
        <v>69223.888888888891</v>
      </c>
    </row>
    <row r="137" spans="1:10">
      <c r="A137">
        <f t="shared" si="9"/>
        <v>128</v>
      </c>
      <c r="B137" s="229">
        <f t="shared" si="10"/>
        <v>48669</v>
      </c>
      <c r="C137" s="60"/>
      <c r="D137" s="64">
        <f t="shared" si="12"/>
        <v>1062500</v>
      </c>
      <c r="E137" s="63">
        <f t="shared" si="14"/>
        <v>62500</v>
      </c>
      <c r="F137" s="64">
        <f t="shared" si="13"/>
        <v>7052.5</v>
      </c>
      <c r="G137" s="63">
        <f t="shared" si="11"/>
        <v>69552.5</v>
      </c>
    </row>
    <row r="138" spans="1:10">
      <c r="A138">
        <f t="shared" si="9"/>
        <v>129</v>
      </c>
      <c r="B138" s="229">
        <f t="shared" si="10"/>
        <v>48699</v>
      </c>
      <c r="C138" s="60"/>
      <c r="D138" s="64">
        <f t="shared" si="12"/>
        <v>1000000</v>
      </c>
      <c r="E138" s="63">
        <f t="shared" si="14"/>
        <v>62500</v>
      </c>
      <c r="F138" s="64">
        <f t="shared" si="13"/>
        <v>6445.833333333333</v>
      </c>
      <c r="G138" s="63">
        <f t="shared" si="11"/>
        <v>68945.833333333328</v>
      </c>
    </row>
    <row r="139" spans="1:10">
      <c r="A139">
        <f t="shared" ref="A139:A153" si="15">A138+1</f>
        <v>130</v>
      </c>
      <c r="B139" s="229">
        <f t="shared" ref="B139:B153" si="16">EOMONTH(B138,1)</f>
        <v>48730</v>
      </c>
      <c r="C139" s="60"/>
      <c r="D139" s="64">
        <f t="shared" si="12"/>
        <v>937500</v>
      </c>
      <c r="E139" s="63">
        <f t="shared" si="14"/>
        <v>62500</v>
      </c>
      <c r="F139" s="64">
        <f t="shared" si="13"/>
        <v>6268.8888888888887</v>
      </c>
      <c r="G139" s="63">
        <f t="shared" si="11"/>
        <v>68768.888888888891</v>
      </c>
    </row>
    <row r="140" spans="1:10">
      <c r="A140">
        <f t="shared" si="15"/>
        <v>131</v>
      </c>
      <c r="B140" s="229">
        <f t="shared" si="16"/>
        <v>48760</v>
      </c>
      <c r="C140" s="60"/>
      <c r="D140" s="64">
        <f t="shared" si="12"/>
        <v>875000</v>
      </c>
      <c r="E140" s="63">
        <f t="shared" si="14"/>
        <v>62500</v>
      </c>
      <c r="F140" s="64">
        <f t="shared" si="13"/>
        <v>5687.5000000000009</v>
      </c>
      <c r="G140" s="63">
        <f t="shared" si="11"/>
        <v>68187.5</v>
      </c>
    </row>
    <row r="141" spans="1:10">
      <c r="A141">
        <f t="shared" si="15"/>
        <v>132</v>
      </c>
      <c r="B141" s="229">
        <f t="shared" si="16"/>
        <v>48791</v>
      </c>
      <c r="C141" s="60"/>
      <c r="D141" s="64">
        <f t="shared" si="12"/>
        <v>812500</v>
      </c>
      <c r="E141" s="63">
        <f t="shared" si="14"/>
        <v>62500</v>
      </c>
      <c r="F141" s="64">
        <f t="shared" si="13"/>
        <v>5485.2777777777783</v>
      </c>
      <c r="G141" s="63">
        <f t="shared" ref="G141:G152" si="17">E141+F141</f>
        <v>67985.277777777781</v>
      </c>
    </row>
    <row r="142" spans="1:10">
      <c r="A142">
        <f t="shared" si="15"/>
        <v>133</v>
      </c>
      <c r="B142" s="229">
        <f t="shared" si="16"/>
        <v>48822</v>
      </c>
      <c r="C142" s="60"/>
      <c r="D142" s="64">
        <f t="shared" si="12"/>
        <v>750000</v>
      </c>
      <c r="E142" s="63">
        <f t="shared" si="14"/>
        <v>62500</v>
      </c>
      <c r="F142" s="64">
        <f t="shared" si="13"/>
        <v>5093.4722222222226</v>
      </c>
      <c r="G142" s="63">
        <f t="shared" si="17"/>
        <v>67593.472222222219</v>
      </c>
    </row>
    <row r="143" spans="1:10">
      <c r="A143">
        <f t="shared" si="15"/>
        <v>134</v>
      </c>
      <c r="B143" s="229">
        <f t="shared" si="16"/>
        <v>48852</v>
      </c>
      <c r="C143" s="60"/>
      <c r="D143" s="64">
        <f t="shared" si="12"/>
        <v>687500</v>
      </c>
      <c r="E143" s="63">
        <f t="shared" si="14"/>
        <v>62500</v>
      </c>
      <c r="F143" s="64">
        <f t="shared" si="13"/>
        <v>4550.0000000000009</v>
      </c>
      <c r="G143" s="63">
        <f t="shared" si="17"/>
        <v>67050</v>
      </c>
    </row>
    <row r="144" spans="1:10">
      <c r="A144">
        <f t="shared" si="15"/>
        <v>135</v>
      </c>
      <c r="B144" s="229">
        <f t="shared" si="16"/>
        <v>48883</v>
      </c>
      <c r="C144" s="60"/>
      <c r="D144" s="64">
        <f t="shared" si="12"/>
        <v>625000</v>
      </c>
      <c r="E144" s="63">
        <f t="shared" si="14"/>
        <v>62500</v>
      </c>
      <c r="F144" s="64">
        <f t="shared" si="13"/>
        <v>4309.8611111111113</v>
      </c>
      <c r="G144" s="63">
        <f t="shared" si="17"/>
        <v>66809.861111111109</v>
      </c>
    </row>
    <row r="145" spans="1:10">
      <c r="A145">
        <f t="shared" si="15"/>
        <v>136</v>
      </c>
      <c r="B145" s="229">
        <f t="shared" si="16"/>
        <v>48913</v>
      </c>
      <c r="C145" s="60"/>
      <c r="D145" s="64">
        <f t="shared" si="12"/>
        <v>562500</v>
      </c>
      <c r="E145" s="63">
        <f t="shared" si="14"/>
        <v>62500</v>
      </c>
      <c r="F145" s="64">
        <f t="shared" si="13"/>
        <v>3791.6666666666665</v>
      </c>
      <c r="G145" s="63">
        <f t="shared" si="17"/>
        <v>66291.666666666672</v>
      </c>
    </row>
    <row r="146" spans="1:10" s="230" customFormat="1">
      <c r="A146" s="230">
        <f t="shared" si="15"/>
        <v>137</v>
      </c>
      <c r="B146" s="231">
        <f t="shared" si="16"/>
        <v>48944</v>
      </c>
      <c r="C146" s="234"/>
      <c r="D146" s="233">
        <f t="shared" si="12"/>
        <v>500000</v>
      </c>
      <c r="E146" s="232">
        <f t="shared" si="14"/>
        <v>62500</v>
      </c>
      <c r="F146" s="233">
        <f t="shared" si="13"/>
        <v>3526.25</v>
      </c>
      <c r="G146" s="232">
        <f t="shared" si="17"/>
        <v>66026.25</v>
      </c>
      <c r="I146" s="230">
        <f>SUM(E135:E146)</f>
        <v>750000</v>
      </c>
      <c r="J146" s="230">
        <f>SUM(F135:F146)</f>
        <v>66771.25</v>
      </c>
    </row>
    <row r="147" spans="1:10">
      <c r="A147">
        <f t="shared" si="15"/>
        <v>138</v>
      </c>
      <c r="B147" s="229">
        <f t="shared" si="16"/>
        <v>48975</v>
      </c>
      <c r="C147" s="60"/>
      <c r="D147" s="64">
        <f t="shared" si="12"/>
        <v>437500</v>
      </c>
      <c r="E147" s="63">
        <f t="shared" si="14"/>
        <v>62500</v>
      </c>
      <c r="F147" s="64">
        <f t="shared" si="13"/>
        <v>3134.4444444444443</v>
      </c>
      <c r="G147" s="63">
        <f t="shared" si="17"/>
        <v>65634.444444444438</v>
      </c>
    </row>
    <row r="148" spans="1:10">
      <c r="A148">
        <f t="shared" si="15"/>
        <v>139</v>
      </c>
      <c r="B148" s="229">
        <f t="shared" si="16"/>
        <v>49003</v>
      </c>
      <c r="C148" s="60"/>
      <c r="D148" s="64">
        <f t="shared" si="12"/>
        <v>375000</v>
      </c>
      <c r="E148" s="63">
        <f t="shared" si="14"/>
        <v>62500</v>
      </c>
      <c r="F148" s="64">
        <f t="shared" si="13"/>
        <v>2477.2222222222226</v>
      </c>
      <c r="G148" s="63">
        <f t="shared" si="17"/>
        <v>64977.222222222219</v>
      </c>
    </row>
    <row r="149" spans="1:10">
      <c r="A149">
        <f t="shared" si="15"/>
        <v>140</v>
      </c>
      <c r="B149" s="229">
        <f t="shared" si="16"/>
        <v>49034</v>
      </c>
      <c r="C149" s="60"/>
      <c r="D149" s="64">
        <f t="shared" si="12"/>
        <v>312500</v>
      </c>
      <c r="E149" s="63">
        <f t="shared" si="14"/>
        <v>62500</v>
      </c>
      <c r="F149" s="64">
        <f t="shared" si="13"/>
        <v>2350.8333333333335</v>
      </c>
      <c r="G149" s="63">
        <f t="shared" si="17"/>
        <v>64850.833333333336</v>
      </c>
    </row>
    <row r="150" spans="1:10">
      <c r="A150">
        <f t="shared" si="15"/>
        <v>141</v>
      </c>
      <c r="B150" s="229">
        <f t="shared" si="16"/>
        <v>49064</v>
      </c>
      <c r="C150" s="60"/>
      <c r="D150" s="64">
        <f t="shared" si="12"/>
        <v>250000</v>
      </c>
      <c r="E150" s="63">
        <f t="shared" si="14"/>
        <v>62500</v>
      </c>
      <c r="F150" s="64">
        <f t="shared" si="13"/>
        <v>1895.8333333333333</v>
      </c>
      <c r="G150" s="63">
        <f t="shared" si="17"/>
        <v>64395.833333333336</v>
      </c>
    </row>
    <row r="151" spans="1:10">
      <c r="A151">
        <f t="shared" si="15"/>
        <v>142</v>
      </c>
      <c r="B151" s="229">
        <f t="shared" si="16"/>
        <v>49095</v>
      </c>
      <c r="C151" s="60"/>
      <c r="D151" s="64">
        <f t="shared" si="12"/>
        <v>187500</v>
      </c>
      <c r="E151" s="63">
        <f t="shared" si="14"/>
        <v>62500</v>
      </c>
      <c r="F151" s="64">
        <f t="shared" si="13"/>
        <v>1567.2222222222222</v>
      </c>
      <c r="G151" s="63">
        <f t="shared" si="17"/>
        <v>64067.222222222219</v>
      </c>
    </row>
    <row r="152" spans="1:10" s="230" customFormat="1">
      <c r="A152" s="230">
        <f t="shared" si="15"/>
        <v>143</v>
      </c>
      <c r="B152" s="235">
        <f t="shared" si="16"/>
        <v>49125</v>
      </c>
      <c r="C152" s="236"/>
      <c r="D152" s="237">
        <f t="shared" si="12"/>
        <v>125000</v>
      </c>
      <c r="E152" s="219">
        <f t="shared" si="14"/>
        <v>62500</v>
      </c>
      <c r="F152" s="237">
        <f t="shared" si="13"/>
        <v>1137.5000000000002</v>
      </c>
      <c r="G152" s="219">
        <f t="shared" si="17"/>
        <v>63637.5</v>
      </c>
      <c r="I152" s="238">
        <f>SUM(E147:E153)</f>
        <v>437500</v>
      </c>
      <c r="J152" s="238">
        <f>SUM(F147:F153)</f>
        <v>13346.666666666668</v>
      </c>
    </row>
    <row r="153" spans="1:10">
      <c r="A153" s="230">
        <f t="shared" si="15"/>
        <v>144</v>
      </c>
      <c r="B153" s="235">
        <f t="shared" si="16"/>
        <v>49156</v>
      </c>
      <c r="C153" s="236"/>
      <c r="D153" s="237">
        <f t="shared" ref="D153" si="18">D152-E152</f>
        <v>62500</v>
      </c>
      <c r="E153" s="219">
        <f t="shared" si="14"/>
        <v>62500</v>
      </c>
      <c r="F153" s="237">
        <f t="shared" ref="F153" si="19">(B153-B152)*$D$4*D152/360</f>
        <v>783.61111111111109</v>
      </c>
      <c r="G153" s="219">
        <f t="shared" ref="G153" si="20">E153+F153</f>
        <v>63283.611111111109</v>
      </c>
    </row>
    <row r="154" spans="1:10">
      <c r="B154" s="239" t="s">
        <v>32</v>
      </c>
      <c r="C154" s="240">
        <f>SUM(C9:C152)</f>
        <v>7500000</v>
      </c>
      <c r="D154" s="239"/>
      <c r="E154" s="241">
        <f>SUM(E33:E153)</f>
        <v>7500000</v>
      </c>
      <c r="F154" s="241">
        <f>SUM(F13:F153)</f>
        <v>3155614.2061315561</v>
      </c>
      <c r="G154" s="239"/>
    </row>
    <row r="155" spans="1:10">
      <c r="I155" s="52">
        <f>SUM(I152,I146,I134,I122,I110,I98,I86,I74,I62,I50,I38,I26,I14)</f>
        <v>7500000</v>
      </c>
      <c r="J155" s="52">
        <f>SUM(J152,J146,J134,J122,J110,J98,J86,J74,J62,J50,J38,J26,J14)</f>
        <v>3155614.2061315556</v>
      </c>
    </row>
    <row r="157" spans="1:10">
      <c r="F157">
        <v>3854025.78</v>
      </c>
    </row>
    <row r="158" spans="1:10">
      <c r="F158" s="48">
        <v>3805274</v>
      </c>
    </row>
    <row r="160" spans="1:10">
      <c r="F160" s="52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64"/>
  <sheetViews>
    <sheetView workbookViewId="0">
      <selection activeCell="J75" sqref="J75"/>
    </sheetView>
  </sheetViews>
  <sheetFormatPr defaultRowHeight="14.4"/>
  <cols>
    <col min="1" max="1" width="4" bestFit="1" customWidth="1"/>
    <col min="2" max="2" width="9.88671875" bestFit="1" customWidth="1"/>
    <col min="3" max="3" width="14" bestFit="1" customWidth="1"/>
    <col min="4" max="4" width="17" customWidth="1"/>
    <col min="5" max="5" width="13.88671875" customWidth="1"/>
    <col min="6" max="6" width="14.33203125" bestFit="1" customWidth="1"/>
    <col min="7" max="7" width="14.109375" bestFit="1" customWidth="1"/>
    <col min="9" max="10" width="14.33203125" bestFit="1" customWidth="1"/>
    <col min="11" max="12" width="13.33203125" bestFit="1" customWidth="1"/>
    <col min="13" max="13" width="14.33203125" bestFit="1" customWidth="1"/>
    <col min="14" max="21" width="13.33203125" bestFit="1" customWidth="1"/>
    <col min="22" max="22" width="12.5546875" bestFit="1" customWidth="1"/>
    <col min="24" max="24" width="14.33203125" bestFit="1" customWidth="1"/>
  </cols>
  <sheetData>
    <row r="1" spans="1:24">
      <c r="C1" s="226" t="s">
        <v>82</v>
      </c>
    </row>
    <row r="3" spans="1:24">
      <c r="B3" s="226" t="s">
        <v>131</v>
      </c>
      <c r="C3" s="226"/>
      <c r="D3" s="227">
        <v>18000000</v>
      </c>
      <c r="E3" s="226" t="s">
        <v>62</v>
      </c>
      <c r="F3" s="226"/>
      <c r="G3" s="226"/>
    </row>
    <row r="4" spans="1:24">
      <c r="B4" t="s">
        <v>13</v>
      </c>
      <c r="D4" s="212">
        <f>D5+D6</f>
        <v>6.7299999999999999E-2</v>
      </c>
      <c r="E4" s="52"/>
    </row>
    <row r="5" spans="1:24">
      <c r="B5" t="s">
        <v>132</v>
      </c>
      <c r="D5" s="212">
        <f>'credit nou fd UE 7.5 mio'!D5</f>
        <v>5.7799999999999997E-2</v>
      </c>
      <c r="E5" s="52"/>
    </row>
    <row r="6" spans="1:24">
      <c r="B6" t="s">
        <v>28</v>
      </c>
      <c r="D6" s="212">
        <v>9.4999999999999998E-3</v>
      </c>
      <c r="J6">
        <v>2024</v>
      </c>
      <c r="K6">
        <f>J6+1</f>
        <v>2025</v>
      </c>
      <c r="L6">
        <f t="shared" ref="L6:V6" si="0">K6+1</f>
        <v>2026</v>
      </c>
      <c r="M6">
        <f t="shared" si="0"/>
        <v>2027</v>
      </c>
      <c r="N6">
        <f t="shared" si="0"/>
        <v>2028</v>
      </c>
      <c r="O6">
        <f t="shared" si="0"/>
        <v>2029</v>
      </c>
      <c r="P6">
        <f t="shared" si="0"/>
        <v>2030</v>
      </c>
      <c r="Q6">
        <f t="shared" si="0"/>
        <v>2031</v>
      </c>
      <c r="R6">
        <f t="shared" si="0"/>
        <v>2032</v>
      </c>
      <c r="S6">
        <f t="shared" si="0"/>
        <v>2033</v>
      </c>
      <c r="T6">
        <f t="shared" si="0"/>
        <v>2034</v>
      </c>
      <c r="U6">
        <f t="shared" si="0"/>
        <v>2035</v>
      </c>
      <c r="V6">
        <f t="shared" si="0"/>
        <v>2036</v>
      </c>
    </row>
    <row r="7" spans="1:24">
      <c r="E7" s="52"/>
      <c r="K7" s="48">
        <f>I32</f>
        <v>0</v>
      </c>
      <c r="L7" s="48">
        <f>I44</f>
        <v>1160000</v>
      </c>
      <c r="M7" s="48">
        <f>I56</f>
        <v>840000</v>
      </c>
      <c r="N7" s="48">
        <f>I68</f>
        <v>920000</v>
      </c>
      <c r="O7" s="48">
        <f>I80</f>
        <v>1040000</v>
      </c>
      <c r="P7" s="48">
        <f>I92</f>
        <v>1240000</v>
      </c>
      <c r="Q7" s="48">
        <f>I104</f>
        <v>1400000</v>
      </c>
      <c r="R7" s="48">
        <f>I116</f>
        <v>1600000</v>
      </c>
      <c r="S7" s="48">
        <f>I128</f>
        <v>1840000</v>
      </c>
      <c r="T7" s="48">
        <f>I140</f>
        <v>2400000</v>
      </c>
      <c r="U7" s="48">
        <f>I152</f>
        <v>3440000</v>
      </c>
      <c r="V7" s="52">
        <f>I154</f>
        <v>2120000</v>
      </c>
      <c r="X7" s="52">
        <f>SUM(K7:W7)</f>
        <v>18000000</v>
      </c>
    </row>
    <row r="8" spans="1:24">
      <c r="B8" s="228" t="s">
        <v>75</v>
      </c>
      <c r="C8" s="228" t="s">
        <v>133</v>
      </c>
      <c r="D8" s="228" t="s">
        <v>29</v>
      </c>
      <c r="E8" s="228" t="s">
        <v>77</v>
      </c>
      <c r="F8" s="228" t="s">
        <v>13</v>
      </c>
      <c r="G8" s="228" t="s">
        <v>32</v>
      </c>
      <c r="J8" s="52">
        <f>J20</f>
        <v>0</v>
      </c>
      <c r="K8" s="48">
        <f>J32</f>
        <v>487756.75</v>
      </c>
      <c r="L8" s="48">
        <f>J44</f>
        <v>1190647.2972222222</v>
      </c>
      <c r="M8" s="48">
        <f>J56</f>
        <v>1127454.4666666668</v>
      </c>
      <c r="N8" s="48">
        <f>J68</f>
        <v>1071926.3583333334</v>
      </c>
      <c r="O8" s="48">
        <f>J80</f>
        <v>1003070.9805555556</v>
      </c>
      <c r="P8" s="48">
        <f>J92</f>
        <v>927816.49444444454</v>
      </c>
      <c r="Q8" s="48">
        <f>J104</f>
        <v>838230.84722222225</v>
      </c>
      <c r="R8" s="48">
        <f>J116</f>
        <v>740543.02777777775</v>
      </c>
      <c r="S8" s="48">
        <f>J128</f>
        <v>623059.66111111117</v>
      </c>
      <c r="T8" s="48">
        <f>J140</f>
        <v>486522.91666666663</v>
      </c>
      <c r="U8" s="48">
        <f>J152</f>
        <v>299421.43888888892</v>
      </c>
      <c r="V8" s="52">
        <f>J154</f>
        <v>55799.177777777782</v>
      </c>
      <c r="X8" s="52">
        <f>SUM(J8:W8)</f>
        <v>8852249.4166666679</v>
      </c>
    </row>
    <row r="9" spans="1:24">
      <c r="B9" s="229">
        <v>45322</v>
      </c>
      <c r="C9" s="64"/>
      <c r="D9" s="64">
        <v>0</v>
      </c>
      <c r="E9" s="60"/>
      <c r="F9" s="64"/>
      <c r="G9" s="63"/>
      <c r="J9" s="52">
        <v>18000</v>
      </c>
    </row>
    <row r="10" spans="1:24">
      <c r="B10" s="229">
        <f t="shared" ref="B10:B68" si="1">EOMONTH(B9,1)</f>
        <v>45351</v>
      </c>
      <c r="C10" s="60"/>
      <c r="D10" s="64">
        <f t="shared" ref="D10:D19" si="2">D9+C10</f>
        <v>0</v>
      </c>
      <c r="E10" s="60"/>
      <c r="F10" s="64">
        <f t="shared" ref="F10:F20" si="3">(B10-B9)*$D$4*D9/360</f>
        <v>0</v>
      </c>
      <c r="G10" s="63">
        <f t="shared" ref="G10:G70" si="4">E10+F10</f>
        <v>0</v>
      </c>
    </row>
    <row r="11" spans="1:24">
      <c r="B11" s="229">
        <f t="shared" si="1"/>
        <v>45382</v>
      </c>
      <c r="C11" s="60"/>
      <c r="D11" s="64">
        <f t="shared" si="2"/>
        <v>0</v>
      </c>
      <c r="E11" s="60"/>
      <c r="F11" s="64">
        <f t="shared" si="3"/>
        <v>0</v>
      </c>
      <c r="G11" s="63">
        <f t="shared" si="4"/>
        <v>0</v>
      </c>
    </row>
    <row r="12" spans="1:24">
      <c r="B12" s="229">
        <f t="shared" si="1"/>
        <v>45412</v>
      </c>
      <c r="C12" s="64"/>
      <c r="D12" s="64">
        <f t="shared" si="2"/>
        <v>0</v>
      </c>
      <c r="E12" s="60"/>
      <c r="F12" s="64">
        <f t="shared" si="3"/>
        <v>0</v>
      </c>
      <c r="G12" s="63">
        <f t="shared" si="4"/>
        <v>0</v>
      </c>
    </row>
    <row r="13" spans="1:24">
      <c r="B13" s="229">
        <f t="shared" si="1"/>
        <v>45443</v>
      </c>
      <c r="C13" s="60"/>
      <c r="D13" s="64">
        <f t="shared" si="2"/>
        <v>0</v>
      </c>
      <c r="E13" s="60"/>
      <c r="F13" s="64"/>
      <c r="G13" s="63">
        <f t="shared" si="4"/>
        <v>0</v>
      </c>
    </row>
    <row r="14" spans="1:24">
      <c r="B14" s="229">
        <f t="shared" si="1"/>
        <v>45473</v>
      </c>
      <c r="C14" s="64"/>
      <c r="D14" s="64">
        <f t="shared" si="2"/>
        <v>0</v>
      </c>
      <c r="E14" s="60"/>
      <c r="F14" s="64">
        <f t="shared" si="3"/>
        <v>0</v>
      </c>
      <c r="G14" s="63">
        <f t="shared" si="4"/>
        <v>0</v>
      </c>
    </row>
    <row r="15" spans="1:24">
      <c r="A15">
        <v>1</v>
      </c>
      <c r="B15" s="229">
        <f t="shared" si="1"/>
        <v>45504</v>
      </c>
      <c r="C15" s="60"/>
      <c r="D15" s="64">
        <f t="shared" si="2"/>
        <v>0</v>
      </c>
      <c r="E15" s="60"/>
      <c r="F15" s="64">
        <f t="shared" si="3"/>
        <v>0</v>
      </c>
      <c r="G15" s="63">
        <f t="shared" si="4"/>
        <v>0</v>
      </c>
    </row>
    <row r="16" spans="1:24">
      <c r="A16">
        <f t="shared" ref="A16:A68" si="5">A15+1</f>
        <v>2</v>
      </c>
      <c r="B16" s="229">
        <f t="shared" si="1"/>
        <v>45535</v>
      </c>
      <c r="C16" s="63"/>
      <c r="D16" s="64">
        <f t="shared" si="2"/>
        <v>0</v>
      </c>
      <c r="E16" s="60"/>
      <c r="F16" s="64">
        <f t="shared" si="3"/>
        <v>0</v>
      </c>
      <c r="G16" s="63">
        <f t="shared" si="4"/>
        <v>0</v>
      </c>
    </row>
    <row r="17" spans="1:10">
      <c r="A17">
        <f t="shared" si="5"/>
        <v>3</v>
      </c>
      <c r="B17" s="229">
        <f t="shared" si="1"/>
        <v>45565</v>
      </c>
      <c r="C17" s="64"/>
      <c r="D17" s="64">
        <f t="shared" si="2"/>
        <v>0</v>
      </c>
      <c r="E17" s="60"/>
      <c r="F17" s="64">
        <f t="shared" si="3"/>
        <v>0</v>
      </c>
      <c r="G17" s="63">
        <f t="shared" si="4"/>
        <v>0</v>
      </c>
    </row>
    <row r="18" spans="1:10">
      <c r="A18">
        <f t="shared" si="5"/>
        <v>4</v>
      </c>
      <c r="B18" s="229">
        <f t="shared" si="1"/>
        <v>45596</v>
      </c>
      <c r="C18" s="64"/>
      <c r="D18" s="64">
        <f t="shared" si="2"/>
        <v>0</v>
      </c>
      <c r="E18" s="60"/>
      <c r="F18" s="64">
        <f t="shared" si="3"/>
        <v>0</v>
      </c>
      <c r="G18" s="63">
        <f t="shared" si="4"/>
        <v>0</v>
      </c>
    </row>
    <row r="19" spans="1:10">
      <c r="A19">
        <f t="shared" si="5"/>
        <v>5</v>
      </c>
      <c r="B19" s="229">
        <f t="shared" si="1"/>
        <v>45626</v>
      </c>
      <c r="C19" s="63"/>
      <c r="D19" s="64">
        <f t="shared" si="2"/>
        <v>0</v>
      </c>
      <c r="E19" s="60"/>
      <c r="F19" s="64">
        <f t="shared" si="3"/>
        <v>0</v>
      </c>
      <c r="G19" s="63">
        <f t="shared" si="4"/>
        <v>0</v>
      </c>
    </row>
    <row r="20" spans="1:10" s="230" customFormat="1">
      <c r="A20" s="230">
        <f t="shared" si="5"/>
        <v>6</v>
      </c>
      <c r="B20" s="231">
        <f t="shared" si="1"/>
        <v>45657</v>
      </c>
      <c r="C20" s="232">
        <v>0</v>
      </c>
      <c r="D20" s="233">
        <f>D19+C20</f>
        <v>0</v>
      </c>
      <c r="E20" s="234"/>
      <c r="F20" s="233">
        <f t="shared" si="3"/>
        <v>0</v>
      </c>
      <c r="G20" s="232">
        <f t="shared" si="4"/>
        <v>0</v>
      </c>
      <c r="I20" s="230">
        <f>SUM(E9:E20)</f>
        <v>0</v>
      </c>
      <c r="J20" s="238">
        <f>SUM(F9:F20)</f>
        <v>0</v>
      </c>
    </row>
    <row r="21" spans="1:10">
      <c r="A21">
        <f t="shared" si="5"/>
        <v>7</v>
      </c>
      <c r="B21" s="229">
        <f t="shared" si="1"/>
        <v>45688</v>
      </c>
      <c r="C21" s="60"/>
      <c r="D21" s="64">
        <f t="shared" ref="D21:D29" si="6">D20+C21</f>
        <v>0</v>
      </c>
      <c r="E21" s="63"/>
      <c r="F21" s="64">
        <f>(B21-B20)*$D$4*D20/360</f>
        <v>0</v>
      </c>
      <c r="G21" s="63">
        <f t="shared" si="4"/>
        <v>0</v>
      </c>
    </row>
    <row r="22" spans="1:10">
      <c r="A22">
        <f t="shared" si="5"/>
        <v>8</v>
      </c>
      <c r="B22" s="229">
        <f t="shared" si="1"/>
        <v>45716</v>
      </c>
      <c r="C22" s="60"/>
      <c r="D22" s="64">
        <f t="shared" si="6"/>
        <v>0</v>
      </c>
      <c r="E22" s="64"/>
      <c r="F22" s="64">
        <f>(B22-B21)*$D$4*D21/360</f>
        <v>0</v>
      </c>
      <c r="G22" s="63">
        <f t="shared" si="4"/>
        <v>0</v>
      </c>
    </row>
    <row r="23" spans="1:10">
      <c r="A23">
        <f t="shared" si="5"/>
        <v>9</v>
      </c>
      <c r="B23" s="229">
        <f t="shared" si="1"/>
        <v>45747</v>
      </c>
      <c r="C23" s="63">
        <f>0.15*D3</f>
        <v>2700000</v>
      </c>
      <c r="D23" s="64">
        <f t="shared" si="6"/>
        <v>2700000</v>
      </c>
      <c r="E23" s="63"/>
      <c r="F23" s="64">
        <f t="shared" ref="F23:F86" si="7">(B23-B22)*$D$4*D22/360</f>
        <v>0</v>
      </c>
      <c r="G23" s="63">
        <f t="shared" si="4"/>
        <v>0</v>
      </c>
    </row>
    <row r="24" spans="1:10">
      <c r="A24">
        <f t="shared" si="5"/>
        <v>10</v>
      </c>
      <c r="B24" s="229">
        <f t="shared" si="1"/>
        <v>45777</v>
      </c>
      <c r="C24" s="60"/>
      <c r="D24" s="64">
        <f t="shared" si="6"/>
        <v>2700000</v>
      </c>
      <c r="E24" s="63"/>
      <c r="F24" s="64">
        <f t="shared" si="7"/>
        <v>15142.5</v>
      </c>
      <c r="G24" s="63">
        <f t="shared" si="4"/>
        <v>15142.5</v>
      </c>
    </row>
    <row r="25" spans="1:10">
      <c r="A25">
        <f t="shared" si="5"/>
        <v>11</v>
      </c>
      <c r="B25" s="229">
        <f t="shared" si="1"/>
        <v>45808</v>
      </c>
      <c r="C25" s="60"/>
      <c r="D25" s="64">
        <f t="shared" si="6"/>
        <v>2700000</v>
      </c>
      <c r="E25" s="63"/>
      <c r="F25" s="64">
        <f t="shared" si="7"/>
        <v>15647.25</v>
      </c>
      <c r="G25" s="63">
        <f t="shared" si="4"/>
        <v>15647.25</v>
      </c>
    </row>
    <row r="26" spans="1:10">
      <c r="A26">
        <f t="shared" si="5"/>
        <v>12</v>
      </c>
      <c r="B26" s="229">
        <f t="shared" si="1"/>
        <v>45838</v>
      </c>
      <c r="C26" s="64">
        <v>0</v>
      </c>
      <c r="D26" s="64">
        <f t="shared" si="6"/>
        <v>2700000</v>
      </c>
      <c r="E26" s="63"/>
      <c r="F26" s="64">
        <f t="shared" si="7"/>
        <v>15142.5</v>
      </c>
      <c r="G26" s="63">
        <f t="shared" si="4"/>
        <v>15142.5</v>
      </c>
    </row>
    <row r="27" spans="1:10">
      <c r="A27">
        <f t="shared" si="5"/>
        <v>13</v>
      </c>
      <c r="B27" s="229">
        <f t="shared" si="1"/>
        <v>45869</v>
      </c>
      <c r="C27" s="60"/>
      <c r="D27" s="64">
        <f t="shared" si="6"/>
        <v>2700000</v>
      </c>
      <c r="E27" s="63"/>
      <c r="F27" s="64">
        <f t="shared" si="7"/>
        <v>15647.25</v>
      </c>
      <c r="G27" s="63">
        <f t="shared" si="4"/>
        <v>15647.25</v>
      </c>
    </row>
    <row r="28" spans="1:10">
      <c r="A28">
        <f t="shared" si="5"/>
        <v>14</v>
      </c>
      <c r="B28" s="229">
        <f t="shared" si="1"/>
        <v>45900</v>
      </c>
      <c r="C28" s="63">
        <f>0.85*D3</f>
        <v>15300000</v>
      </c>
      <c r="D28" s="64">
        <f t="shared" si="6"/>
        <v>18000000</v>
      </c>
      <c r="E28" s="63"/>
      <c r="F28" s="64">
        <f t="shared" si="7"/>
        <v>15647.25</v>
      </c>
      <c r="G28" s="63">
        <f t="shared" si="4"/>
        <v>15647.25</v>
      </c>
    </row>
    <row r="29" spans="1:10" s="246" customFormat="1">
      <c r="A29" s="246">
        <f t="shared" si="5"/>
        <v>15</v>
      </c>
      <c r="B29" s="247">
        <f t="shared" si="1"/>
        <v>45930</v>
      </c>
      <c r="C29" s="249"/>
      <c r="D29" s="248">
        <f t="shared" si="6"/>
        <v>18000000</v>
      </c>
      <c r="E29" s="249"/>
      <c r="F29" s="248">
        <f t="shared" si="7"/>
        <v>100950</v>
      </c>
      <c r="G29" s="249">
        <f t="shared" si="4"/>
        <v>100950</v>
      </c>
    </row>
    <row r="30" spans="1:10" s="250" customFormat="1">
      <c r="A30" s="250">
        <f t="shared" si="5"/>
        <v>16</v>
      </c>
      <c r="B30" s="251">
        <f t="shared" si="1"/>
        <v>45961</v>
      </c>
      <c r="C30" s="252"/>
      <c r="D30" s="253">
        <f t="shared" ref="D30:D86" si="8">D29-E29</f>
        <v>18000000</v>
      </c>
      <c r="E30" s="254"/>
      <c r="F30" s="253">
        <f t="shared" si="7"/>
        <v>104315</v>
      </c>
      <c r="G30" s="254">
        <f t="shared" si="4"/>
        <v>104315</v>
      </c>
    </row>
    <row r="31" spans="1:10">
      <c r="A31">
        <f t="shared" si="5"/>
        <v>17</v>
      </c>
      <c r="B31" s="229">
        <f t="shared" si="1"/>
        <v>45991</v>
      </c>
      <c r="C31" s="60"/>
      <c r="D31" s="64">
        <f t="shared" si="8"/>
        <v>18000000</v>
      </c>
      <c r="E31" s="63"/>
      <c r="F31" s="64">
        <f t="shared" si="7"/>
        <v>100950</v>
      </c>
      <c r="G31" s="63">
        <f t="shared" si="4"/>
        <v>100950</v>
      </c>
      <c r="H31">
        <v>1</v>
      </c>
    </row>
    <row r="32" spans="1:10" s="230" customFormat="1">
      <c r="A32" s="230">
        <f t="shared" si="5"/>
        <v>18</v>
      </c>
      <c r="B32" s="231">
        <f t="shared" si="1"/>
        <v>46022</v>
      </c>
      <c r="C32" s="234"/>
      <c r="D32" s="233">
        <f t="shared" si="8"/>
        <v>18000000</v>
      </c>
      <c r="E32" s="232">
        <f t="shared" ref="E32:E92" si="9">E31</f>
        <v>0</v>
      </c>
      <c r="F32" s="233">
        <f t="shared" si="7"/>
        <v>104315</v>
      </c>
      <c r="G32" s="232">
        <f t="shared" si="4"/>
        <v>104315</v>
      </c>
      <c r="H32" s="230">
        <f>H31+1</f>
        <v>2</v>
      </c>
      <c r="I32" s="53">
        <f>SUM(E21:E32)</f>
        <v>0</v>
      </c>
      <c r="J32" s="53">
        <f>SUM(F21:F32)</f>
        <v>487756.75</v>
      </c>
    </row>
    <row r="33" spans="1:10">
      <c r="A33">
        <f t="shared" si="5"/>
        <v>19</v>
      </c>
      <c r="B33" s="229">
        <f t="shared" si="1"/>
        <v>46053</v>
      </c>
      <c r="C33" s="60"/>
      <c r="D33" s="64">
        <f t="shared" si="8"/>
        <v>18000000</v>
      </c>
      <c r="E33" s="63">
        <v>150000</v>
      </c>
      <c r="F33" s="64">
        <f t="shared" si="7"/>
        <v>104315</v>
      </c>
      <c r="G33" s="63">
        <f t="shared" si="4"/>
        <v>254315</v>
      </c>
      <c r="H33">
        <f t="shared" ref="H33:H96" si="10">H32+1</f>
        <v>3</v>
      </c>
      <c r="I33" s="48"/>
      <c r="J33" s="48"/>
    </row>
    <row r="34" spans="1:10">
      <c r="A34">
        <f t="shared" si="5"/>
        <v>20</v>
      </c>
      <c r="B34" s="229">
        <f t="shared" si="1"/>
        <v>46081</v>
      </c>
      <c r="C34" s="60"/>
      <c r="D34" s="64">
        <f t="shared" si="8"/>
        <v>17850000</v>
      </c>
      <c r="E34" s="63">
        <f>E33</f>
        <v>150000</v>
      </c>
      <c r="F34" s="64">
        <f t="shared" si="7"/>
        <v>94220</v>
      </c>
      <c r="G34" s="63">
        <f t="shared" si="4"/>
        <v>244220</v>
      </c>
      <c r="H34">
        <f t="shared" si="10"/>
        <v>4</v>
      </c>
      <c r="I34" s="48"/>
      <c r="J34" s="48"/>
    </row>
    <row r="35" spans="1:10">
      <c r="A35">
        <f t="shared" si="5"/>
        <v>21</v>
      </c>
      <c r="B35" s="229">
        <f t="shared" si="1"/>
        <v>46112</v>
      </c>
      <c r="C35" s="60"/>
      <c r="D35" s="64">
        <f t="shared" si="8"/>
        <v>17700000</v>
      </c>
      <c r="E35" s="63">
        <f>E34</f>
        <v>150000</v>
      </c>
      <c r="F35" s="64">
        <f t="shared" si="7"/>
        <v>103445.70833333333</v>
      </c>
      <c r="G35" s="63">
        <f t="shared" si="4"/>
        <v>253445.70833333331</v>
      </c>
      <c r="H35">
        <f t="shared" si="10"/>
        <v>5</v>
      </c>
      <c r="I35" s="48"/>
      <c r="J35" s="48"/>
    </row>
    <row r="36" spans="1:10">
      <c r="A36">
        <f t="shared" si="5"/>
        <v>22</v>
      </c>
      <c r="B36" s="229">
        <f t="shared" si="1"/>
        <v>46142</v>
      </c>
      <c r="C36" s="60"/>
      <c r="D36" s="64">
        <f t="shared" si="8"/>
        <v>17550000</v>
      </c>
      <c r="E36" s="63">
        <f t="shared" si="9"/>
        <v>150000</v>
      </c>
      <c r="F36" s="64">
        <f t="shared" si="7"/>
        <v>99267.5</v>
      </c>
      <c r="G36" s="63">
        <f t="shared" si="4"/>
        <v>249267.5</v>
      </c>
      <c r="H36">
        <f t="shared" si="10"/>
        <v>6</v>
      </c>
      <c r="I36" s="48"/>
      <c r="J36" s="48"/>
    </row>
    <row r="37" spans="1:10">
      <c r="A37">
        <f t="shared" si="5"/>
        <v>23</v>
      </c>
      <c r="B37" s="229">
        <f t="shared" si="1"/>
        <v>46173</v>
      </c>
      <c r="C37" s="60"/>
      <c r="D37" s="64">
        <f t="shared" si="8"/>
        <v>17400000</v>
      </c>
      <c r="E37" s="63">
        <v>70000</v>
      </c>
      <c r="F37" s="64">
        <f t="shared" si="7"/>
        <v>101707.125</v>
      </c>
      <c r="G37" s="63">
        <f t="shared" si="4"/>
        <v>171707.125</v>
      </c>
      <c r="H37">
        <f t="shared" si="10"/>
        <v>7</v>
      </c>
      <c r="I37" s="48"/>
      <c r="J37" s="48"/>
    </row>
    <row r="38" spans="1:10">
      <c r="A38">
        <f t="shared" si="5"/>
        <v>24</v>
      </c>
      <c r="B38" s="229">
        <f t="shared" si="1"/>
        <v>46203</v>
      </c>
      <c r="C38" s="60"/>
      <c r="D38" s="64">
        <f t="shared" si="8"/>
        <v>17330000</v>
      </c>
      <c r="E38" s="63">
        <f t="shared" si="9"/>
        <v>70000</v>
      </c>
      <c r="F38" s="64">
        <f t="shared" si="7"/>
        <v>97585</v>
      </c>
      <c r="G38" s="63">
        <f t="shared" si="4"/>
        <v>167585</v>
      </c>
      <c r="H38">
        <f t="shared" si="10"/>
        <v>8</v>
      </c>
      <c r="I38" s="48"/>
      <c r="J38" s="48"/>
    </row>
    <row r="39" spans="1:10">
      <c r="A39">
        <f t="shared" si="5"/>
        <v>25</v>
      </c>
      <c r="B39" s="229">
        <f t="shared" si="1"/>
        <v>46234</v>
      </c>
      <c r="C39" s="60"/>
      <c r="D39" s="64">
        <f t="shared" si="8"/>
        <v>17260000</v>
      </c>
      <c r="E39" s="63">
        <f t="shared" si="9"/>
        <v>70000</v>
      </c>
      <c r="F39" s="64">
        <f t="shared" si="7"/>
        <v>100432.16388888888</v>
      </c>
      <c r="G39" s="63">
        <f t="shared" si="4"/>
        <v>170432.1638888889</v>
      </c>
      <c r="H39">
        <f t="shared" si="10"/>
        <v>9</v>
      </c>
      <c r="I39" s="48"/>
      <c r="J39" s="48"/>
    </row>
    <row r="40" spans="1:10">
      <c r="A40">
        <f t="shared" si="5"/>
        <v>26</v>
      </c>
      <c r="B40" s="229">
        <f t="shared" si="1"/>
        <v>46265</v>
      </c>
      <c r="C40" s="60"/>
      <c r="D40" s="64">
        <f t="shared" si="8"/>
        <v>17190000</v>
      </c>
      <c r="E40" s="63">
        <f t="shared" si="9"/>
        <v>70000</v>
      </c>
      <c r="F40" s="64">
        <f t="shared" si="7"/>
        <v>100026.49444444444</v>
      </c>
      <c r="G40" s="63">
        <f t="shared" si="4"/>
        <v>170026.49444444443</v>
      </c>
      <c r="H40">
        <f t="shared" si="10"/>
        <v>10</v>
      </c>
      <c r="I40" s="48"/>
      <c r="J40" s="48"/>
    </row>
    <row r="41" spans="1:10">
      <c r="A41">
        <f t="shared" si="5"/>
        <v>27</v>
      </c>
      <c r="B41" s="229">
        <f t="shared" si="1"/>
        <v>46295</v>
      </c>
      <c r="C41" s="60"/>
      <c r="D41" s="64">
        <f t="shared" si="8"/>
        <v>17120000</v>
      </c>
      <c r="E41" s="63">
        <f t="shared" si="9"/>
        <v>70000</v>
      </c>
      <c r="F41" s="64">
        <f t="shared" si="7"/>
        <v>96407.25</v>
      </c>
      <c r="G41" s="63">
        <f t="shared" si="4"/>
        <v>166407.25</v>
      </c>
      <c r="H41">
        <f t="shared" si="10"/>
        <v>11</v>
      </c>
      <c r="I41" s="48"/>
      <c r="J41" s="48"/>
    </row>
    <row r="42" spans="1:10">
      <c r="A42">
        <f t="shared" si="5"/>
        <v>28</v>
      </c>
      <c r="B42" s="229">
        <f t="shared" si="1"/>
        <v>46326</v>
      </c>
      <c r="C42" s="60"/>
      <c r="D42" s="64">
        <f t="shared" si="8"/>
        <v>17050000</v>
      </c>
      <c r="E42" s="63">
        <f t="shared" si="9"/>
        <v>70000</v>
      </c>
      <c r="F42" s="64">
        <f t="shared" si="7"/>
        <v>99215.155555555553</v>
      </c>
      <c r="G42" s="63">
        <f t="shared" si="4"/>
        <v>169215.15555555554</v>
      </c>
      <c r="H42">
        <f t="shared" si="10"/>
        <v>12</v>
      </c>
      <c r="I42" s="48"/>
      <c r="J42" s="48"/>
    </row>
    <row r="43" spans="1:10">
      <c r="A43">
        <f t="shared" si="5"/>
        <v>29</v>
      </c>
      <c r="B43" s="229">
        <f t="shared" si="1"/>
        <v>46356</v>
      </c>
      <c r="C43" s="60"/>
      <c r="D43" s="64">
        <f t="shared" si="8"/>
        <v>16980000</v>
      </c>
      <c r="E43" s="63">
        <f t="shared" si="9"/>
        <v>70000</v>
      </c>
      <c r="F43" s="64">
        <f t="shared" si="7"/>
        <v>95622.083333333328</v>
      </c>
      <c r="G43" s="63">
        <f t="shared" si="4"/>
        <v>165622.08333333331</v>
      </c>
      <c r="H43">
        <f t="shared" si="10"/>
        <v>13</v>
      </c>
      <c r="I43" s="48"/>
      <c r="J43" s="48"/>
    </row>
    <row r="44" spans="1:10" s="230" customFormat="1">
      <c r="A44" s="230">
        <f t="shared" si="5"/>
        <v>30</v>
      </c>
      <c r="B44" s="231">
        <f t="shared" si="1"/>
        <v>46387</v>
      </c>
      <c r="C44" s="234"/>
      <c r="D44" s="233">
        <f t="shared" si="8"/>
        <v>16910000</v>
      </c>
      <c r="E44" s="232">
        <f t="shared" si="9"/>
        <v>70000</v>
      </c>
      <c r="F44" s="233">
        <f t="shared" si="7"/>
        <v>98403.816666666666</v>
      </c>
      <c r="G44" s="232">
        <f t="shared" si="4"/>
        <v>168403.81666666665</v>
      </c>
      <c r="H44" s="230">
        <f t="shared" si="10"/>
        <v>14</v>
      </c>
      <c r="I44" s="53">
        <f>SUM(E33:E44)</f>
        <v>1160000</v>
      </c>
      <c r="J44" s="53">
        <f>SUM(F33:F44)</f>
        <v>1190647.2972222222</v>
      </c>
    </row>
    <row r="45" spans="1:10">
      <c r="A45">
        <f t="shared" si="5"/>
        <v>31</v>
      </c>
      <c r="B45" s="229">
        <f t="shared" si="1"/>
        <v>46418</v>
      </c>
      <c r="C45" s="60"/>
      <c r="D45" s="64">
        <f t="shared" si="8"/>
        <v>16840000</v>
      </c>
      <c r="E45" s="63">
        <f t="shared" si="9"/>
        <v>70000</v>
      </c>
      <c r="F45" s="64">
        <f t="shared" si="7"/>
        <v>97998.147222222222</v>
      </c>
      <c r="G45" s="63">
        <f t="shared" si="4"/>
        <v>167998.14722222224</v>
      </c>
      <c r="H45">
        <f t="shared" si="10"/>
        <v>15</v>
      </c>
      <c r="I45" s="48"/>
      <c r="J45" s="48"/>
    </row>
    <row r="46" spans="1:10">
      <c r="A46">
        <f t="shared" si="5"/>
        <v>32</v>
      </c>
      <c r="B46" s="229">
        <f t="shared" si="1"/>
        <v>46446</v>
      </c>
      <c r="C46" s="60"/>
      <c r="D46" s="64">
        <f t="shared" si="8"/>
        <v>16770000</v>
      </c>
      <c r="E46" s="63">
        <f t="shared" si="9"/>
        <v>70000</v>
      </c>
      <c r="F46" s="64">
        <f t="shared" si="7"/>
        <v>88148.044444444429</v>
      </c>
      <c r="G46" s="63">
        <f t="shared" si="4"/>
        <v>158148.04444444441</v>
      </c>
      <c r="H46">
        <f t="shared" si="10"/>
        <v>16</v>
      </c>
      <c r="I46" s="48"/>
      <c r="J46" s="48"/>
    </row>
    <row r="47" spans="1:10">
      <c r="A47">
        <f t="shared" si="5"/>
        <v>33</v>
      </c>
      <c r="B47" s="229">
        <f t="shared" si="1"/>
        <v>46477</v>
      </c>
      <c r="C47" s="60"/>
      <c r="D47" s="64">
        <f t="shared" si="8"/>
        <v>16700000</v>
      </c>
      <c r="E47" s="63">
        <f t="shared" si="9"/>
        <v>70000</v>
      </c>
      <c r="F47" s="64">
        <f t="shared" si="7"/>
        <v>97186.808333333334</v>
      </c>
      <c r="G47" s="63">
        <f t="shared" si="4"/>
        <v>167186.80833333335</v>
      </c>
      <c r="H47">
        <f t="shared" si="10"/>
        <v>17</v>
      </c>
      <c r="I47" s="48"/>
      <c r="J47" s="48"/>
    </row>
    <row r="48" spans="1:10">
      <c r="A48">
        <f t="shared" si="5"/>
        <v>34</v>
      </c>
      <c r="B48" s="229">
        <f t="shared" si="1"/>
        <v>46507</v>
      </c>
      <c r="C48" s="60"/>
      <c r="D48" s="64">
        <f t="shared" si="8"/>
        <v>16630000</v>
      </c>
      <c r="E48" s="63">
        <f t="shared" si="9"/>
        <v>70000</v>
      </c>
      <c r="F48" s="64">
        <f t="shared" si="7"/>
        <v>93659.166666666672</v>
      </c>
      <c r="G48" s="63">
        <f t="shared" si="4"/>
        <v>163659.16666666669</v>
      </c>
      <c r="H48">
        <f t="shared" si="10"/>
        <v>18</v>
      </c>
      <c r="I48" s="48"/>
      <c r="J48" s="48"/>
    </row>
    <row r="49" spans="1:10">
      <c r="A49">
        <f t="shared" si="5"/>
        <v>35</v>
      </c>
      <c r="B49" s="229">
        <f t="shared" si="1"/>
        <v>46538</v>
      </c>
      <c r="C49" s="60"/>
      <c r="D49" s="64">
        <f t="shared" si="8"/>
        <v>16560000</v>
      </c>
      <c r="E49" s="63">
        <f t="shared" si="9"/>
        <v>70000</v>
      </c>
      <c r="F49" s="64">
        <f t="shared" si="7"/>
        <v>96375.469444444447</v>
      </c>
      <c r="G49" s="63">
        <f t="shared" si="4"/>
        <v>166375.46944444446</v>
      </c>
      <c r="H49">
        <f t="shared" si="10"/>
        <v>19</v>
      </c>
      <c r="I49" s="48"/>
      <c r="J49" s="48"/>
    </row>
    <row r="50" spans="1:10">
      <c r="A50">
        <f t="shared" si="5"/>
        <v>36</v>
      </c>
      <c r="B50" s="229">
        <f t="shared" si="1"/>
        <v>46568</v>
      </c>
      <c r="C50" s="60"/>
      <c r="D50" s="64">
        <f t="shared" si="8"/>
        <v>16490000</v>
      </c>
      <c r="E50" s="63">
        <f t="shared" si="9"/>
        <v>70000</v>
      </c>
      <c r="F50" s="64">
        <f t="shared" si="7"/>
        <v>92874.000000000015</v>
      </c>
      <c r="G50" s="63">
        <f t="shared" si="4"/>
        <v>162874</v>
      </c>
      <c r="H50">
        <f t="shared" si="10"/>
        <v>20</v>
      </c>
      <c r="I50" s="48"/>
      <c r="J50" s="48"/>
    </row>
    <row r="51" spans="1:10">
      <c r="A51">
        <f t="shared" si="5"/>
        <v>37</v>
      </c>
      <c r="B51" s="229">
        <f t="shared" si="1"/>
        <v>46599</v>
      </c>
      <c r="C51" s="60"/>
      <c r="D51" s="64">
        <f t="shared" si="8"/>
        <v>16420000</v>
      </c>
      <c r="E51" s="63">
        <f t="shared" si="9"/>
        <v>70000</v>
      </c>
      <c r="F51" s="64">
        <f t="shared" si="7"/>
        <v>95564.130555555559</v>
      </c>
      <c r="G51" s="63">
        <f t="shared" si="4"/>
        <v>165564.13055555557</v>
      </c>
      <c r="H51">
        <f t="shared" si="10"/>
        <v>21</v>
      </c>
      <c r="I51" s="48"/>
      <c r="J51" s="48"/>
    </row>
    <row r="52" spans="1:10">
      <c r="A52">
        <f t="shared" si="5"/>
        <v>38</v>
      </c>
      <c r="B52" s="229">
        <f t="shared" si="1"/>
        <v>46630</v>
      </c>
      <c r="C52" s="60"/>
      <c r="D52" s="64">
        <f t="shared" si="8"/>
        <v>16350000</v>
      </c>
      <c r="E52" s="63">
        <f t="shared" si="9"/>
        <v>70000</v>
      </c>
      <c r="F52" s="64">
        <f t="shared" si="7"/>
        <v>95158.461111111115</v>
      </c>
      <c r="G52" s="63">
        <f t="shared" si="4"/>
        <v>165158.4611111111</v>
      </c>
      <c r="H52">
        <f t="shared" si="10"/>
        <v>22</v>
      </c>
      <c r="I52" s="48"/>
      <c r="J52" s="48"/>
    </row>
    <row r="53" spans="1:10">
      <c r="A53">
        <f t="shared" si="5"/>
        <v>39</v>
      </c>
      <c r="B53" s="229">
        <f t="shared" si="1"/>
        <v>46660</v>
      </c>
      <c r="C53" s="60"/>
      <c r="D53" s="64">
        <f t="shared" si="8"/>
        <v>16280000</v>
      </c>
      <c r="E53" s="63">
        <f t="shared" si="9"/>
        <v>70000</v>
      </c>
      <c r="F53" s="64">
        <f t="shared" si="7"/>
        <v>91696.250000000015</v>
      </c>
      <c r="G53" s="63">
        <f t="shared" si="4"/>
        <v>161696.25</v>
      </c>
      <c r="H53">
        <f t="shared" si="10"/>
        <v>23</v>
      </c>
      <c r="I53" s="48"/>
      <c r="J53" s="48"/>
    </row>
    <row r="54" spans="1:10">
      <c r="A54">
        <f t="shared" si="5"/>
        <v>40</v>
      </c>
      <c r="B54" s="229">
        <f t="shared" si="1"/>
        <v>46691</v>
      </c>
      <c r="C54" s="60"/>
      <c r="D54" s="64">
        <f t="shared" si="8"/>
        <v>16210000</v>
      </c>
      <c r="E54" s="63">
        <f t="shared" si="9"/>
        <v>70000</v>
      </c>
      <c r="F54" s="64">
        <f t="shared" si="7"/>
        <v>94347.122222222228</v>
      </c>
      <c r="G54" s="63">
        <f t="shared" si="4"/>
        <v>164347.12222222221</v>
      </c>
      <c r="H54">
        <f t="shared" si="10"/>
        <v>24</v>
      </c>
      <c r="I54" s="48"/>
      <c r="J54" s="48"/>
    </row>
    <row r="55" spans="1:10">
      <c r="A55">
        <f t="shared" si="5"/>
        <v>41</v>
      </c>
      <c r="B55" s="229">
        <f t="shared" si="1"/>
        <v>46721</v>
      </c>
      <c r="C55" s="60"/>
      <c r="D55" s="64">
        <f t="shared" si="8"/>
        <v>16140000</v>
      </c>
      <c r="E55" s="63">
        <f t="shared" si="9"/>
        <v>70000</v>
      </c>
      <c r="F55" s="64">
        <f t="shared" si="7"/>
        <v>90911.083333333343</v>
      </c>
      <c r="G55" s="63">
        <f t="shared" si="4"/>
        <v>160911.08333333334</v>
      </c>
      <c r="H55">
        <f t="shared" si="10"/>
        <v>25</v>
      </c>
      <c r="I55" s="48"/>
      <c r="J55" s="48"/>
    </row>
    <row r="56" spans="1:10" s="230" customFormat="1">
      <c r="A56" s="230">
        <f t="shared" si="5"/>
        <v>42</v>
      </c>
      <c r="B56" s="231">
        <f t="shared" si="1"/>
        <v>46752</v>
      </c>
      <c r="C56" s="234"/>
      <c r="D56" s="233">
        <f t="shared" si="8"/>
        <v>16070000</v>
      </c>
      <c r="E56" s="232">
        <f t="shared" si="9"/>
        <v>70000</v>
      </c>
      <c r="F56" s="233">
        <f t="shared" si="7"/>
        <v>93535.78333333334</v>
      </c>
      <c r="G56" s="232">
        <f t="shared" si="4"/>
        <v>163535.78333333333</v>
      </c>
      <c r="H56" s="230">
        <f t="shared" si="10"/>
        <v>26</v>
      </c>
      <c r="I56" s="53">
        <f>SUM(E45:E56)</f>
        <v>840000</v>
      </c>
      <c r="J56" s="53">
        <f>SUM(F45:F56)</f>
        <v>1127454.4666666668</v>
      </c>
    </row>
    <row r="57" spans="1:10">
      <c r="A57">
        <f t="shared" si="5"/>
        <v>43</v>
      </c>
      <c r="B57" s="229">
        <f t="shared" si="1"/>
        <v>46783</v>
      </c>
      <c r="C57" s="60"/>
      <c r="D57" s="64">
        <f t="shared" si="8"/>
        <v>16000000</v>
      </c>
      <c r="E57" s="63">
        <f>E56</f>
        <v>70000</v>
      </c>
      <c r="F57" s="64">
        <f t="shared" si="7"/>
        <v>93130.113888888882</v>
      </c>
      <c r="G57" s="63">
        <f t="shared" si="4"/>
        <v>163130.11388888888</v>
      </c>
      <c r="H57">
        <f t="shared" si="10"/>
        <v>27</v>
      </c>
      <c r="I57" s="48"/>
      <c r="J57" s="48"/>
    </row>
    <row r="58" spans="1:10">
      <c r="A58">
        <f t="shared" si="5"/>
        <v>44</v>
      </c>
      <c r="B58" s="229">
        <f t="shared" si="1"/>
        <v>46812</v>
      </c>
      <c r="C58" s="60"/>
      <c r="D58" s="64">
        <f t="shared" si="8"/>
        <v>15930000</v>
      </c>
      <c r="E58" s="63">
        <f>E57</f>
        <v>70000</v>
      </c>
      <c r="F58" s="64">
        <f t="shared" si="7"/>
        <v>86742.222222222219</v>
      </c>
      <c r="G58" s="63">
        <f t="shared" si="4"/>
        <v>156742.22222222222</v>
      </c>
      <c r="H58">
        <f t="shared" si="10"/>
        <v>28</v>
      </c>
      <c r="I58" s="48"/>
      <c r="J58" s="48"/>
    </row>
    <row r="59" spans="1:10">
      <c r="A59">
        <f t="shared" si="5"/>
        <v>45</v>
      </c>
      <c r="B59" s="229">
        <f t="shared" si="1"/>
        <v>46843</v>
      </c>
      <c r="C59" s="60"/>
      <c r="D59" s="64">
        <f t="shared" si="8"/>
        <v>15860000</v>
      </c>
      <c r="E59" s="63">
        <v>70000</v>
      </c>
      <c r="F59" s="64">
        <f t="shared" si="7"/>
        <v>92318.774999999994</v>
      </c>
      <c r="G59" s="63">
        <f t="shared" si="4"/>
        <v>162318.77499999999</v>
      </c>
      <c r="H59">
        <f t="shared" si="10"/>
        <v>29</v>
      </c>
      <c r="I59" s="48"/>
      <c r="J59" s="48"/>
    </row>
    <row r="60" spans="1:10">
      <c r="A60">
        <f t="shared" si="5"/>
        <v>46</v>
      </c>
      <c r="B60" s="229">
        <f t="shared" si="1"/>
        <v>46873</v>
      </c>
      <c r="C60" s="60"/>
      <c r="D60" s="64">
        <f t="shared" si="8"/>
        <v>15790000</v>
      </c>
      <c r="E60" s="63">
        <f t="shared" si="9"/>
        <v>70000</v>
      </c>
      <c r="F60" s="64">
        <f t="shared" si="7"/>
        <v>88948.166666666672</v>
      </c>
      <c r="G60" s="63">
        <f t="shared" si="4"/>
        <v>158948.16666666669</v>
      </c>
      <c r="H60">
        <f t="shared" si="10"/>
        <v>30</v>
      </c>
      <c r="I60" s="48"/>
      <c r="J60" s="48"/>
    </row>
    <row r="61" spans="1:10">
      <c r="A61">
        <f t="shared" si="5"/>
        <v>47</v>
      </c>
      <c r="B61" s="229">
        <f t="shared" si="1"/>
        <v>46904</v>
      </c>
      <c r="C61" s="60"/>
      <c r="D61" s="64">
        <f t="shared" si="8"/>
        <v>15720000</v>
      </c>
      <c r="E61" s="63">
        <v>80000</v>
      </c>
      <c r="F61" s="64">
        <f t="shared" si="7"/>
        <v>91507.436111111107</v>
      </c>
      <c r="G61" s="63">
        <f t="shared" si="4"/>
        <v>171507.43611111111</v>
      </c>
      <c r="H61">
        <f t="shared" si="10"/>
        <v>31</v>
      </c>
      <c r="I61" s="48"/>
      <c r="J61" s="48"/>
    </row>
    <row r="62" spans="1:10">
      <c r="A62">
        <f t="shared" si="5"/>
        <v>48</v>
      </c>
      <c r="B62" s="229">
        <f t="shared" si="1"/>
        <v>46934</v>
      </c>
      <c r="C62" s="60"/>
      <c r="D62" s="64">
        <f t="shared" si="8"/>
        <v>15640000</v>
      </c>
      <c r="E62" s="63">
        <f t="shared" si="9"/>
        <v>80000</v>
      </c>
      <c r="F62" s="64">
        <f t="shared" si="7"/>
        <v>88163.000000000015</v>
      </c>
      <c r="G62" s="63">
        <f t="shared" si="4"/>
        <v>168163</v>
      </c>
      <c r="H62">
        <f t="shared" si="10"/>
        <v>32</v>
      </c>
      <c r="I62" s="48"/>
      <c r="J62" s="48"/>
    </row>
    <row r="63" spans="1:10">
      <c r="A63">
        <f t="shared" si="5"/>
        <v>49</v>
      </c>
      <c r="B63" s="229">
        <f t="shared" si="1"/>
        <v>46965</v>
      </c>
      <c r="C63" s="60"/>
      <c r="D63" s="64">
        <f t="shared" si="8"/>
        <v>15560000</v>
      </c>
      <c r="E63" s="63">
        <f t="shared" si="9"/>
        <v>80000</v>
      </c>
      <c r="F63" s="64">
        <f t="shared" si="7"/>
        <v>90638.14444444445</v>
      </c>
      <c r="G63" s="63">
        <f t="shared" si="4"/>
        <v>170638.14444444445</v>
      </c>
      <c r="H63">
        <f t="shared" si="10"/>
        <v>33</v>
      </c>
      <c r="I63" s="48"/>
      <c r="J63" s="48"/>
    </row>
    <row r="64" spans="1:10">
      <c r="A64">
        <f t="shared" si="5"/>
        <v>50</v>
      </c>
      <c r="B64" s="229">
        <f t="shared" si="1"/>
        <v>46996</v>
      </c>
      <c r="C64" s="60"/>
      <c r="D64" s="64">
        <f t="shared" si="8"/>
        <v>15480000</v>
      </c>
      <c r="E64" s="63">
        <f t="shared" si="9"/>
        <v>80000</v>
      </c>
      <c r="F64" s="64">
        <f t="shared" si="7"/>
        <v>90174.522222222222</v>
      </c>
      <c r="G64" s="63">
        <f t="shared" si="4"/>
        <v>170174.52222222224</v>
      </c>
      <c r="H64">
        <f t="shared" si="10"/>
        <v>34</v>
      </c>
      <c r="I64" s="48"/>
      <c r="J64" s="48"/>
    </row>
    <row r="65" spans="1:10">
      <c r="A65">
        <f t="shared" si="5"/>
        <v>51</v>
      </c>
      <c r="B65" s="229">
        <f t="shared" si="1"/>
        <v>47026</v>
      </c>
      <c r="C65" s="60"/>
      <c r="D65" s="64">
        <f t="shared" si="8"/>
        <v>15400000</v>
      </c>
      <c r="E65" s="63">
        <f t="shared" si="9"/>
        <v>80000</v>
      </c>
      <c r="F65" s="64">
        <f t="shared" si="7"/>
        <v>86817.000000000015</v>
      </c>
      <c r="G65" s="63">
        <f t="shared" si="4"/>
        <v>166817</v>
      </c>
      <c r="H65">
        <f t="shared" si="10"/>
        <v>35</v>
      </c>
      <c r="I65" s="48"/>
      <c r="J65" s="48"/>
    </row>
    <row r="66" spans="1:10">
      <c r="A66">
        <f t="shared" si="5"/>
        <v>52</v>
      </c>
      <c r="B66" s="229">
        <f t="shared" si="1"/>
        <v>47057</v>
      </c>
      <c r="C66" s="60"/>
      <c r="D66" s="64">
        <f t="shared" si="8"/>
        <v>15320000</v>
      </c>
      <c r="E66" s="63">
        <f t="shared" si="9"/>
        <v>80000</v>
      </c>
      <c r="F66" s="64">
        <f t="shared" si="7"/>
        <v>89247.277777777781</v>
      </c>
      <c r="G66" s="63">
        <f t="shared" si="4"/>
        <v>169247.27777777778</v>
      </c>
      <c r="H66">
        <f t="shared" si="10"/>
        <v>36</v>
      </c>
      <c r="I66" s="48"/>
      <c r="J66" s="48"/>
    </row>
    <row r="67" spans="1:10">
      <c r="A67">
        <f t="shared" si="5"/>
        <v>53</v>
      </c>
      <c r="B67" s="229">
        <f t="shared" si="1"/>
        <v>47087</v>
      </c>
      <c r="C67" s="60"/>
      <c r="D67" s="64">
        <f t="shared" si="8"/>
        <v>15240000</v>
      </c>
      <c r="E67" s="63">
        <f t="shared" si="9"/>
        <v>80000</v>
      </c>
      <c r="F67" s="64">
        <f t="shared" si="7"/>
        <v>85919.666666666672</v>
      </c>
      <c r="G67" s="63">
        <f t="shared" si="4"/>
        <v>165919.66666666669</v>
      </c>
      <c r="H67">
        <f t="shared" si="10"/>
        <v>37</v>
      </c>
      <c r="I67" s="48"/>
      <c r="J67" s="48"/>
    </row>
    <row r="68" spans="1:10" s="230" customFormat="1">
      <c r="A68" s="230">
        <f t="shared" si="5"/>
        <v>54</v>
      </c>
      <c r="B68" s="231">
        <f t="shared" si="1"/>
        <v>47118</v>
      </c>
      <c r="C68" s="234"/>
      <c r="D68" s="233">
        <f t="shared" si="8"/>
        <v>15160000</v>
      </c>
      <c r="E68" s="232">
        <f t="shared" si="9"/>
        <v>80000</v>
      </c>
      <c r="F68" s="233">
        <f t="shared" si="7"/>
        <v>88320.03333333334</v>
      </c>
      <c r="G68" s="232">
        <f t="shared" si="4"/>
        <v>168320.03333333333</v>
      </c>
      <c r="H68" s="230">
        <f t="shared" si="10"/>
        <v>38</v>
      </c>
      <c r="I68" s="53">
        <f>SUM(E57:E68)</f>
        <v>920000</v>
      </c>
      <c r="J68" s="53">
        <f>SUM(F57:F68)</f>
        <v>1071926.3583333334</v>
      </c>
    </row>
    <row r="69" spans="1:10">
      <c r="A69">
        <f t="shared" ref="A69:A132" si="11">A68+1</f>
        <v>55</v>
      </c>
      <c r="B69" s="229">
        <f t="shared" ref="B69:B132" si="12">EOMONTH(B68,1)</f>
        <v>47149</v>
      </c>
      <c r="C69" s="60"/>
      <c r="D69" s="64">
        <f t="shared" si="8"/>
        <v>15080000</v>
      </c>
      <c r="E69" s="63">
        <f>E68</f>
        <v>80000</v>
      </c>
      <c r="F69" s="64">
        <f t="shared" si="7"/>
        <v>87856.411111111112</v>
      </c>
      <c r="G69" s="63">
        <f t="shared" si="4"/>
        <v>167856.41111111111</v>
      </c>
      <c r="H69">
        <f t="shared" si="10"/>
        <v>39</v>
      </c>
      <c r="I69" s="48"/>
      <c r="J69" s="48"/>
    </row>
    <row r="70" spans="1:10">
      <c r="A70">
        <f t="shared" si="11"/>
        <v>56</v>
      </c>
      <c r="B70" s="229">
        <f t="shared" si="12"/>
        <v>47177</v>
      </c>
      <c r="C70" s="60"/>
      <c r="D70" s="64">
        <f t="shared" si="8"/>
        <v>15000000</v>
      </c>
      <c r="E70" s="63">
        <f>E69</f>
        <v>80000</v>
      </c>
      <c r="F70" s="64">
        <f t="shared" si="7"/>
        <v>78935.422222222216</v>
      </c>
      <c r="G70" s="63">
        <f t="shared" si="4"/>
        <v>158935.4222222222</v>
      </c>
      <c r="H70">
        <f t="shared" si="10"/>
        <v>40</v>
      </c>
      <c r="I70" s="48"/>
      <c r="J70" s="48"/>
    </row>
    <row r="71" spans="1:10">
      <c r="A71">
        <f t="shared" si="11"/>
        <v>57</v>
      </c>
      <c r="B71" s="229">
        <f t="shared" si="12"/>
        <v>47208</v>
      </c>
      <c r="C71" s="60"/>
      <c r="D71" s="64">
        <f t="shared" si="8"/>
        <v>14920000</v>
      </c>
      <c r="E71" s="63">
        <f>E70</f>
        <v>80000</v>
      </c>
      <c r="F71" s="64">
        <f t="shared" si="7"/>
        <v>86929.166666666672</v>
      </c>
      <c r="G71" s="63">
        <f t="shared" ref="G71:G134" si="13">E71+F71</f>
        <v>166929.16666666669</v>
      </c>
      <c r="H71">
        <f t="shared" si="10"/>
        <v>41</v>
      </c>
      <c r="I71" s="48"/>
      <c r="J71" s="48"/>
    </row>
    <row r="72" spans="1:10">
      <c r="A72">
        <f t="shared" si="11"/>
        <v>58</v>
      </c>
      <c r="B72" s="229">
        <f t="shared" si="12"/>
        <v>47238</v>
      </c>
      <c r="C72" s="60"/>
      <c r="D72" s="64">
        <f t="shared" si="8"/>
        <v>14840000</v>
      </c>
      <c r="E72" s="63">
        <f t="shared" si="9"/>
        <v>80000</v>
      </c>
      <c r="F72" s="64">
        <f t="shared" si="7"/>
        <v>83676.333333333343</v>
      </c>
      <c r="G72" s="63">
        <f t="shared" si="13"/>
        <v>163676.33333333334</v>
      </c>
      <c r="H72">
        <f t="shared" si="10"/>
        <v>42</v>
      </c>
      <c r="I72" s="48"/>
      <c r="J72" s="48"/>
    </row>
    <row r="73" spans="1:10">
      <c r="A73">
        <f t="shared" si="11"/>
        <v>59</v>
      </c>
      <c r="B73" s="229">
        <f t="shared" si="12"/>
        <v>47269</v>
      </c>
      <c r="C73" s="60"/>
      <c r="D73" s="64">
        <f t="shared" si="8"/>
        <v>14760000</v>
      </c>
      <c r="E73" s="63">
        <v>90000</v>
      </c>
      <c r="F73" s="64">
        <f t="shared" si="7"/>
        <v>86001.922222222216</v>
      </c>
      <c r="G73" s="63">
        <f t="shared" si="13"/>
        <v>176001.9222222222</v>
      </c>
      <c r="H73">
        <f t="shared" si="10"/>
        <v>43</v>
      </c>
      <c r="I73" s="48"/>
      <c r="J73" s="48"/>
    </row>
    <row r="74" spans="1:10">
      <c r="A74">
        <f t="shared" si="11"/>
        <v>60</v>
      </c>
      <c r="B74" s="229">
        <f t="shared" si="12"/>
        <v>47299</v>
      </c>
      <c r="C74" s="60"/>
      <c r="D74" s="64">
        <f t="shared" si="8"/>
        <v>14670000</v>
      </c>
      <c r="E74" s="63">
        <f t="shared" si="9"/>
        <v>90000</v>
      </c>
      <c r="F74" s="64">
        <f t="shared" si="7"/>
        <v>82779.000000000015</v>
      </c>
      <c r="G74" s="63">
        <f t="shared" si="13"/>
        <v>172779</v>
      </c>
      <c r="H74">
        <f t="shared" si="10"/>
        <v>44</v>
      </c>
      <c r="I74" s="48"/>
      <c r="J74" s="48"/>
    </row>
    <row r="75" spans="1:10">
      <c r="A75">
        <f t="shared" si="11"/>
        <v>61</v>
      </c>
      <c r="B75" s="229">
        <f t="shared" si="12"/>
        <v>47330</v>
      </c>
      <c r="C75" s="60"/>
      <c r="D75" s="64">
        <f t="shared" si="8"/>
        <v>14580000</v>
      </c>
      <c r="E75" s="63">
        <f t="shared" si="9"/>
        <v>90000</v>
      </c>
      <c r="F75" s="64">
        <f t="shared" si="7"/>
        <v>85016.725000000006</v>
      </c>
      <c r="G75" s="63">
        <f t="shared" si="13"/>
        <v>175016.72500000001</v>
      </c>
      <c r="H75">
        <f t="shared" si="10"/>
        <v>45</v>
      </c>
      <c r="I75" s="48"/>
      <c r="J75" s="48"/>
    </row>
    <row r="76" spans="1:10">
      <c r="A76">
        <f t="shared" si="11"/>
        <v>62</v>
      </c>
      <c r="B76" s="229">
        <f t="shared" si="12"/>
        <v>47361</v>
      </c>
      <c r="C76" s="60"/>
      <c r="D76" s="64">
        <f t="shared" si="8"/>
        <v>14490000</v>
      </c>
      <c r="E76" s="63">
        <f t="shared" si="9"/>
        <v>90000</v>
      </c>
      <c r="F76" s="64">
        <f t="shared" si="7"/>
        <v>84495.15</v>
      </c>
      <c r="G76" s="63">
        <f t="shared" si="13"/>
        <v>174495.15</v>
      </c>
      <c r="H76">
        <f t="shared" si="10"/>
        <v>46</v>
      </c>
      <c r="I76" s="48"/>
      <c r="J76" s="48"/>
    </row>
    <row r="77" spans="1:10">
      <c r="A77">
        <f t="shared" si="11"/>
        <v>63</v>
      </c>
      <c r="B77" s="229">
        <f t="shared" si="12"/>
        <v>47391</v>
      </c>
      <c r="C77" s="60"/>
      <c r="D77" s="64">
        <f t="shared" si="8"/>
        <v>14400000</v>
      </c>
      <c r="E77" s="63">
        <f t="shared" si="9"/>
        <v>90000</v>
      </c>
      <c r="F77" s="64">
        <f t="shared" si="7"/>
        <v>81264.75</v>
      </c>
      <c r="G77" s="63">
        <f t="shared" si="13"/>
        <v>171264.75</v>
      </c>
      <c r="H77">
        <f t="shared" si="10"/>
        <v>47</v>
      </c>
      <c r="I77" s="48"/>
      <c r="J77" s="48"/>
    </row>
    <row r="78" spans="1:10">
      <c r="A78">
        <f t="shared" si="11"/>
        <v>64</v>
      </c>
      <c r="B78" s="229">
        <f t="shared" si="12"/>
        <v>47422</v>
      </c>
      <c r="C78" s="60"/>
      <c r="D78" s="64">
        <f t="shared" si="8"/>
        <v>14310000</v>
      </c>
      <c r="E78" s="63">
        <f t="shared" si="9"/>
        <v>90000</v>
      </c>
      <c r="F78" s="64">
        <f t="shared" si="7"/>
        <v>83452</v>
      </c>
      <c r="G78" s="63">
        <f t="shared" si="13"/>
        <v>173452</v>
      </c>
      <c r="H78">
        <f t="shared" si="10"/>
        <v>48</v>
      </c>
      <c r="I78" s="48"/>
      <c r="J78" s="48"/>
    </row>
    <row r="79" spans="1:10">
      <c r="A79">
        <f t="shared" si="11"/>
        <v>65</v>
      </c>
      <c r="B79" s="229">
        <f t="shared" si="12"/>
        <v>47452</v>
      </c>
      <c r="C79" s="60"/>
      <c r="D79" s="64">
        <f t="shared" si="8"/>
        <v>14220000</v>
      </c>
      <c r="E79" s="63">
        <f t="shared" si="9"/>
        <v>90000</v>
      </c>
      <c r="F79" s="64">
        <f t="shared" si="7"/>
        <v>80255.25</v>
      </c>
      <c r="G79" s="63">
        <f t="shared" si="13"/>
        <v>170255.25</v>
      </c>
      <c r="H79">
        <f t="shared" si="10"/>
        <v>49</v>
      </c>
      <c r="I79" s="48"/>
      <c r="J79" s="48"/>
    </row>
    <row r="80" spans="1:10" s="230" customFormat="1">
      <c r="A80" s="230">
        <f t="shared" si="11"/>
        <v>66</v>
      </c>
      <c r="B80" s="231">
        <f t="shared" si="12"/>
        <v>47483</v>
      </c>
      <c r="C80" s="234"/>
      <c r="D80" s="233">
        <f t="shared" si="8"/>
        <v>14130000</v>
      </c>
      <c r="E80" s="232">
        <f t="shared" si="9"/>
        <v>90000</v>
      </c>
      <c r="F80" s="233">
        <f t="shared" si="7"/>
        <v>82408.850000000006</v>
      </c>
      <c r="G80" s="232">
        <f t="shared" si="13"/>
        <v>172408.85</v>
      </c>
      <c r="H80" s="230">
        <f t="shared" si="10"/>
        <v>50</v>
      </c>
      <c r="I80" s="53">
        <f>SUM(E69:E80)</f>
        <v>1040000</v>
      </c>
      <c r="J80" s="53">
        <f>SUM(F69:F80)</f>
        <v>1003070.9805555556</v>
      </c>
    </row>
    <row r="81" spans="1:10">
      <c r="A81">
        <f t="shared" si="11"/>
        <v>67</v>
      </c>
      <c r="B81" s="229">
        <f t="shared" si="12"/>
        <v>47514</v>
      </c>
      <c r="C81" s="60"/>
      <c r="D81" s="64">
        <f t="shared" si="8"/>
        <v>14040000</v>
      </c>
      <c r="E81" s="63">
        <f>E80</f>
        <v>90000</v>
      </c>
      <c r="F81" s="64">
        <f t="shared" si="7"/>
        <v>81887.274999999994</v>
      </c>
      <c r="G81" s="63">
        <f t="shared" si="13"/>
        <v>171887.27499999999</v>
      </c>
      <c r="H81">
        <f t="shared" si="10"/>
        <v>51</v>
      </c>
      <c r="I81" s="48"/>
      <c r="J81" s="48"/>
    </row>
    <row r="82" spans="1:10">
      <c r="A82">
        <f t="shared" si="11"/>
        <v>68</v>
      </c>
      <c r="B82" s="229">
        <f t="shared" si="12"/>
        <v>47542</v>
      </c>
      <c r="C82" s="60"/>
      <c r="D82" s="64">
        <f t="shared" si="8"/>
        <v>13950000</v>
      </c>
      <c r="E82" s="63">
        <f>E81</f>
        <v>90000</v>
      </c>
      <c r="F82" s="64">
        <f t="shared" si="7"/>
        <v>73491.599999999991</v>
      </c>
      <c r="G82" s="63">
        <f t="shared" si="13"/>
        <v>163491.59999999998</v>
      </c>
      <c r="H82">
        <f t="shared" si="10"/>
        <v>52</v>
      </c>
      <c r="I82" s="48"/>
      <c r="J82" s="48"/>
    </row>
    <row r="83" spans="1:10">
      <c r="A83">
        <f t="shared" si="11"/>
        <v>69</v>
      </c>
      <c r="B83" s="229">
        <f t="shared" si="12"/>
        <v>47573</v>
      </c>
      <c r="C83" s="60"/>
      <c r="D83" s="64">
        <f t="shared" si="8"/>
        <v>13860000</v>
      </c>
      <c r="E83" s="63">
        <f>E82</f>
        <v>90000</v>
      </c>
      <c r="F83" s="64">
        <f t="shared" si="7"/>
        <v>80844.125</v>
      </c>
      <c r="G83" s="63">
        <f t="shared" si="13"/>
        <v>170844.125</v>
      </c>
      <c r="H83">
        <f t="shared" si="10"/>
        <v>53</v>
      </c>
      <c r="I83" s="48"/>
      <c r="J83" s="48"/>
    </row>
    <row r="84" spans="1:10">
      <c r="A84">
        <f t="shared" si="11"/>
        <v>70</v>
      </c>
      <c r="B84" s="229">
        <f t="shared" si="12"/>
        <v>47603</v>
      </c>
      <c r="C84" s="60"/>
      <c r="D84" s="64">
        <f t="shared" si="8"/>
        <v>13770000</v>
      </c>
      <c r="E84" s="63">
        <f t="shared" si="9"/>
        <v>90000</v>
      </c>
      <c r="F84" s="64">
        <f t="shared" si="7"/>
        <v>77731.5</v>
      </c>
      <c r="G84" s="63">
        <f t="shared" si="13"/>
        <v>167731.5</v>
      </c>
      <c r="H84">
        <f t="shared" si="10"/>
        <v>54</v>
      </c>
      <c r="I84" s="48"/>
      <c r="J84" s="48"/>
    </row>
    <row r="85" spans="1:10">
      <c r="A85">
        <f t="shared" si="11"/>
        <v>71</v>
      </c>
      <c r="B85" s="229">
        <f t="shared" si="12"/>
        <v>47634</v>
      </c>
      <c r="C85" s="60"/>
      <c r="D85" s="64">
        <f t="shared" si="8"/>
        <v>13680000</v>
      </c>
      <c r="E85" s="63">
        <v>110000</v>
      </c>
      <c r="F85" s="64">
        <f t="shared" si="7"/>
        <v>79800.975000000006</v>
      </c>
      <c r="G85" s="63">
        <f t="shared" si="13"/>
        <v>189800.97500000001</v>
      </c>
      <c r="H85">
        <f t="shared" si="10"/>
        <v>55</v>
      </c>
      <c r="I85" s="48"/>
      <c r="J85" s="48"/>
    </row>
    <row r="86" spans="1:10">
      <c r="A86">
        <f t="shared" si="11"/>
        <v>72</v>
      </c>
      <c r="B86" s="229">
        <f t="shared" si="12"/>
        <v>47664</v>
      </c>
      <c r="C86" s="60"/>
      <c r="D86" s="64">
        <f t="shared" si="8"/>
        <v>13570000</v>
      </c>
      <c r="E86" s="63">
        <f t="shared" si="9"/>
        <v>110000</v>
      </c>
      <c r="F86" s="64">
        <f t="shared" si="7"/>
        <v>76722</v>
      </c>
      <c r="G86" s="63">
        <f t="shared" si="13"/>
        <v>186722</v>
      </c>
      <c r="H86">
        <f t="shared" si="10"/>
        <v>56</v>
      </c>
      <c r="I86" s="48"/>
      <c r="J86" s="48"/>
    </row>
    <row r="87" spans="1:10">
      <c r="A87">
        <f t="shared" si="11"/>
        <v>73</v>
      </c>
      <c r="B87" s="229">
        <f t="shared" si="12"/>
        <v>47695</v>
      </c>
      <c r="C87" s="60"/>
      <c r="D87" s="64">
        <f t="shared" ref="D87:D147" si="14">D86-E86</f>
        <v>13460000</v>
      </c>
      <c r="E87" s="63">
        <f t="shared" si="9"/>
        <v>110000</v>
      </c>
      <c r="F87" s="64">
        <f t="shared" ref="F87:F147" si="15">(B87-B86)*$D$4*D86/360</f>
        <v>78641.919444444444</v>
      </c>
      <c r="G87" s="63">
        <f t="shared" si="13"/>
        <v>188641.91944444444</v>
      </c>
      <c r="H87">
        <f t="shared" si="10"/>
        <v>57</v>
      </c>
      <c r="I87" s="48"/>
      <c r="J87" s="48"/>
    </row>
    <row r="88" spans="1:10">
      <c r="A88">
        <f t="shared" si="11"/>
        <v>74</v>
      </c>
      <c r="B88" s="229">
        <f t="shared" si="12"/>
        <v>47726</v>
      </c>
      <c r="C88" s="60"/>
      <c r="D88" s="64">
        <f t="shared" si="14"/>
        <v>13350000</v>
      </c>
      <c r="E88" s="63">
        <f t="shared" si="9"/>
        <v>110000</v>
      </c>
      <c r="F88" s="64">
        <f t="shared" si="15"/>
        <v>78004.438888888893</v>
      </c>
      <c r="G88" s="63">
        <f t="shared" si="13"/>
        <v>188004.43888888889</v>
      </c>
      <c r="H88">
        <f t="shared" si="10"/>
        <v>58</v>
      </c>
      <c r="I88" s="48"/>
      <c r="J88" s="48"/>
    </row>
    <row r="89" spans="1:10">
      <c r="A89">
        <f t="shared" si="11"/>
        <v>75</v>
      </c>
      <c r="B89" s="229">
        <f t="shared" si="12"/>
        <v>47756</v>
      </c>
      <c r="C89" s="60"/>
      <c r="D89" s="64">
        <f t="shared" si="14"/>
        <v>13240000</v>
      </c>
      <c r="E89" s="63">
        <f t="shared" si="9"/>
        <v>110000</v>
      </c>
      <c r="F89" s="64">
        <f t="shared" si="15"/>
        <v>74871.25</v>
      </c>
      <c r="G89" s="63">
        <f t="shared" si="13"/>
        <v>184871.25</v>
      </c>
      <c r="H89">
        <f t="shared" si="10"/>
        <v>59</v>
      </c>
      <c r="I89" s="48"/>
      <c r="J89" s="48"/>
    </row>
    <row r="90" spans="1:10">
      <c r="A90">
        <f t="shared" si="11"/>
        <v>76</v>
      </c>
      <c r="B90" s="229">
        <f t="shared" si="12"/>
        <v>47787</v>
      </c>
      <c r="C90" s="60"/>
      <c r="D90" s="64">
        <f t="shared" si="14"/>
        <v>13130000</v>
      </c>
      <c r="E90" s="63">
        <f t="shared" si="9"/>
        <v>110000</v>
      </c>
      <c r="F90" s="64">
        <f t="shared" si="15"/>
        <v>76729.477777777778</v>
      </c>
      <c r="G90" s="63">
        <f t="shared" si="13"/>
        <v>186729.47777777776</v>
      </c>
      <c r="H90">
        <f t="shared" si="10"/>
        <v>60</v>
      </c>
      <c r="I90" s="48"/>
      <c r="J90" s="48"/>
    </row>
    <row r="91" spans="1:10">
      <c r="A91">
        <f t="shared" si="11"/>
        <v>77</v>
      </c>
      <c r="B91" s="229">
        <f t="shared" si="12"/>
        <v>47817</v>
      </c>
      <c r="C91" s="60"/>
      <c r="D91" s="64">
        <f t="shared" si="14"/>
        <v>13020000</v>
      </c>
      <c r="E91" s="63">
        <f t="shared" si="9"/>
        <v>110000</v>
      </c>
      <c r="F91" s="64">
        <f t="shared" si="15"/>
        <v>73637.416666666672</v>
      </c>
      <c r="G91" s="63">
        <f t="shared" si="13"/>
        <v>183637.41666666669</v>
      </c>
      <c r="H91">
        <f t="shared" si="10"/>
        <v>61</v>
      </c>
      <c r="I91" s="48"/>
      <c r="J91" s="48"/>
    </row>
    <row r="92" spans="1:10" s="230" customFormat="1">
      <c r="A92" s="230">
        <f t="shared" si="11"/>
        <v>78</v>
      </c>
      <c r="B92" s="231">
        <f t="shared" si="12"/>
        <v>47848</v>
      </c>
      <c r="C92" s="234"/>
      <c r="D92" s="233">
        <f t="shared" si="14"/>
        <v>12910000</v>
      </c>
      <c r="E92" s="232">
        <f t="shared" si="9"/>
        <v>110000</v>
      </c>
      <c r="F92" s="233">
        <f t="shared" si="15"/>
        <v>75454.516666666663</v>
      </c>
      <c r="G92" s="232">
        <f t="shared" si="13"/>
        <v>185454.51666666666</v>
      </c>
      <c r="H92" s="230">
        <f t="shared" si="10"/>
        <v>62</v>
      </c>
      <c r="I92" s="53">
        <f>SUM(E81:E92)</f>
        <v>1240000</v>
      </c>
      <c r="J92" s="53">
        <f>SUM(F81:F92)</f>
        <v>927816.49444444454</v>
      </c>
    </row>
    <row r="93" spans="1:10">
      <c r="A93">
        <f t="shared" si="11"/>
        <v>79</v>
      </c>
      <c r="B93" s="229">
        <f t="shared" si="12"/>
        <v>47879</v>
      </c>
      <c r="C93" s="60"/>
      <c r="D93" s="64">
        <f t="shared" si="14"/>
        <v>12800000</v>
      </c>
      <c r="E93" s="63">
        <f>E92</f>
        <v>110000</v>
      </c>
      <c r="F93" s="64">
        <f t="shared" si="15"/>
        <v>74817.036111111112</v>
      </c>
      <c r="G93" s="63">
        <f t="shared" si="13"/>
        <v>184817.03611111111</v>
      </c>
      <c r="H93">
        <f t="shared" si="10"/>
        <v>63</v>
      </c>
      <c r="I93" s="48"/>
      <c r="J93" s="48"/>
    </row>
    <row r="94" spans="1:10">
      <c r="A94">
        <f t="shared" si="11"/>
        <v>80</v>
      </c>
      <c r="B94" s="229">
        <f t="shared" si="12"/>
        <v>47907</v>
      </c>
      <c r="C94" s="60"/>
      <c r="D94" s="64">
        <f t="shared" si="14"/>
        <v>12690000</v>
      </c>
      <c r="E94" s="63">
        <f>E93</f>
        <v>110000</v>
      </c>
      <c r="F94" s="64">
        <f t="shared" si="15"/>
        <v>67000.888888888876</v>
      </c>
      <c r="G94" s="63">
        <f t="shared" si="13"/>
        <v>177000.88888888888</v>
      </c>
      <c r="H94">
        <f t="shared" si="10"/>
        <v>64</v>
      </c>
      <c r="I94" s="48"/>
      <c r="J94" s="48"/>
    </row>
    <row r="95" spans="1:10">
      <c r="A95">
        <f t="shared" si="11"/>
        <v>81</v>
      </c>
      <c r="B95" s="229">
        <f t="shared" si="12"/>
        <v>47938</v>
      </c>
      <c r="C95" s="60"/>
      <c r="D95" s="64">
        <f t="shared" si="14"/>
        <v>12580000</v>
      </c>
      <c r="E95" s="63">
        <f>E94</f>
        <v>110000</v>
      </c>
      <c r="F95" s="64">
        <f t="shared" si="15"/>
        <v>73542.074999999997</v>
      </c>
      <c r="G95" s="63">
        <f t="shared" si="13"/>
        <v>183542.07500000001</v>
      </c>
      <c r="H95">
        <f t="shared" si="10"/>
        <v>65</v>
      </c>
      <c r="I95" s="48"/>
      <c r="J95" s="48"/>
    </row>
    <row r="96" spans="1:10">
      <c r="A96">
        <f t="shared" si="11"/>
        <v>82</v>
      </c>
      <c r="B96" s="229">
        <f t="shared" si="12"/>
        <v>47968</v>
      </c>
      <c r="C96" s="60"/>
      <c r="D96" s="64">
        <f t="shared" si="14"/>
        <v>12470000</v>
      </c>
      <c r="E96" s="63">
        <f t="shared" ref="E96:E156" si="16">E95</f>
        <v>110000</v>
      </c>
      <c r="F96" s="64">
        <f t="shared" si="15"/>
        <v>70552.833333333328</v>
      </c>
      <c r="G96" s="63">
        <f t="shared" si="13"/>
        <v>180552.83333333331</v>
      </c>
      <c r="H96">
        <f t="shared" si="10"/>
        <v>66</v>
      </c>
      <c r="I96" s="48"/>
      <c r="J96" s="48"/>
    </row>
    <row r="97" spans="1:10">
      <c r="A97">
        <f t="shared" si="11"/>
        <v>83</v>
      </c>
      <c r="B97" s="229">
        <f t="shared" si="12"/>
        <v>47999</v>
      </c>
      <c r="C97" s="60"/>
      <c r="D97" s="64">
        <f t="shared" si="14"/>
        <v>12360000</v>
      </c>
      <c r="E97" s="63">
        <v>120000</v>
      </c>
      <c r="F97" s="64">
        <f t="shared" si="15"/>
        <v>72267.113888888882</v>
      </c>
      <c r="G97" s="63">
        <f t="shared" si="13"/>
        <v>192267.11388888888</v>
      </c>
      <c r="H97">
        <f t="shared" ref="H97:H152" si="17">H96+1</f>
        <v>67</v>
      </c>
      <c r="I97" s="48"/>
      <c r="J97" s="48"/>
    </row>
    <row r="98" spans="1:10">
      <c r="A98">
        <f t="shared" si="11"/>
        <v>84</v>
      </c>
      <c r="B98" s="229">
        <f t="shared" si="12"/>
        <v>48029</v>
      </c>
      <c r="C98" s="60"/>
      <c r="D98" s="64">
        <f t="shared" si="14"/>
        <v>12240000</v>
      </c>
      <c r="E98" s="63">
        <f t="shared" si="16"/>
        <v>120000</v>
      </c>
      <c r="F98" s="64">
        <f t="shared" si="15"/>
        <v>69319</v>
      </c>
      <c r="G98" s="63">
        <f t="shared" si="13"/>
        <v>189319</v>
      </c>
      <c r="H98">
        <f t="shared" si="17"/>
        <v>68</v>
      </c>
      <c r="I98" s="48"/>
      <c r="J98" s="48"/>
    </row>
    <row r="99" spans="1:10">
      <c r="A99">
        <f t="shared" si="11"/>
        <v>85</v>
      </c>
      <c r="B99" s="229">
        <f t="shared" si="12"/>
        <v>48060</v>
      </c>
      <c r="C99" s="60"/>
      <c r="D99" s="64">
        <f t="shared" si="14"/>
        <v>12120000</v>
      </c>
      <c r="E99" s="63">
        <f t="shared" si="16"/>
        <v>120000</v>
      </c>
      <c r="F99" s="64">
        <f t="shared" si="15"/>
        <v>70934.2</v>
      </c>
      <c r="G99" s="63">
        <f t="shared" si="13"/>
        <v>190934.2</v>
      </c>
      <c r="H99">
        <f t="shared" si="17"/>
        <v>69</v>
      </c>
      <c r="I99" s="48"/>
      <c r="J99" s="48"/>
    </row>
    <row r="100" spans="1:10">
      <c r="A100">
        <f t="shared" si="11"/>
        <v>86</v>
      </c>
      <c r="B100" s="229">
        <f t="shared" si="12"/>
        <v>48091</v>
      </c>
      <c r="C100" s="60"/>
      <c r="D100" s="64">
        <f t="shared" si="14"/>
        <v>12000000</v>
      </c>
      <c r="E100" s="63">
        <f t="shared" si="16"/>
        <v>120000</v>
      </c>
      <c r="F100" s="64">
        <f t="shared" si="15"/>
        <v>70238.766666666663</v>
      </c>
      <c r="G100" s="63">
        <f t="shared" si="13"/>
        <v>190238.76666666666</v>
      </c>
      <c r="H100">
        <f t="shared" si="17"/>
        <v>70</v>
      </c>
      <c r="I100" s="48"/>
      <c r="J100" s="48"/>
    </row>
    <row r="101" spans="1:10">
      <c r="A101">
        <f t="shared" si="11"/>
        <v>87</v>
      </c>
      <c r="B101" s="229">
        <f t="shared" si="12"/>
        <v>48121</v>
      </c>
      <c r="C101" s="60"/>
      <c r="D101" s="64">
        <f t="shared" si="14"/>
        <v>11880000</v>
      </c>
      <c r="E101" s="63">
        <f t="shared" si="16"/>
        <v>120000</v>
      </c>
      <c r="F101" s="64">
        <f t="shared" si="15"/>
        <v>67300</v>
      </c>
      <c r="G101" s="63">
        <f t="shared" si="13"/>
        <v>187300</v>
      </c>
      <c r="H101">
        <f t="shared" si="17"/>
        <v>71</v>
      </c>
      <c r="I101" s="48"/>
      <c r="J101" s="48"/>
    </row>
    <row r="102" spans="1:10">
      <c r="A102">
        <f t="shared" si="11"/>
        <v>88</v>
      </c>
      <c r="B102" s="229">
        <f t="shared" si="12"/>
        <v>48152</v>
      </c>
      <c r="C102" s="60"/>
      <c r="D102" s="64">
        <f t="shared" si="14"/>
        <v>11760000</v>
      </c>
      <c r="E102" s="63">
        <f t="shared" si="16"/>
        <v>120000</v>
      </c>
      <c r="F102" s="64">
        <f t="shared" si="15"/>
        <v>68847.899999999994</v>
      </c>
      <c r="G102" s="63">
        <f t="shared" si="13"/>
        <v>188847.9</v>
      </c>
      <c r="H102">
        <f t="shared" si="17"/>
        <v>72</v>
      </c>
      <c r="I102" s="48"/>
      <c r="J102" s="48"/>
    </row>
    <row r="103" spans="1:10">
      <c r="A103">
        <f t="shared" si="11"/>
        <v>89</v>
      </c>
      <c r="B103" s="229">
        <f t="shared" si="12"/>
        <v>48182</v>
      </c>
      <c r="C103" s="60"/>
      <c r="D103" s="64">
        <f t="shared" si="14"/>
        <v>11640000</v>
      </c>
      <c r="E103" s="63">
        <f t="shared" si="16"/>
        <v>120000</v>
      </c>
      <c r="F103" s="64">
        <f t="shared" si="15"/>
        <v>65954</v>
      </c>
      <c r="G103" s="63">
        <f t="shared" si="13"/>
        <v>185954</v>
      </c>
      <c r="H103">
        <f t="shared" si="17"/>
        <v>73</v>
      </c>
      <c r="I103" s="48"/>
      <c r="J103" s="48"/>
    </row>
    <row r="104" spans="1:10" s="230" customFormat="1">
      <c r="A104" s="230">
        <f t="shared" si="11"/>
        <v>90</v>
      </c>
      <c r="B104" s="231">
        <f t="shared" si="12"/>
        <v>48213</v>
      </c>
      <c r="C104" s="234"/>
      <c r="D104" s="233">
        <f t="shared" si="14"/>
        <v>11520000</v>
      </c>
      <c r="E104" s="232">
        <f t="shared" si="16"/>
        <v>120000</v>
      </c>
      <c r="F104" s="233">
        <f t="shared" si="15"/>
        <v>67457.03333333334</v>
      </c>
      <c r="G104" s="232">
        <f t="shared" si="13"/>
        <v>187457.03333333333</v>
      </c>
      <c r="H104" s="230">
        <f t="shared" si="17"/>
        <v>74</v>
      </c>
      <c r="I104" s="53">
        <f>SUM(E93:E104)</f>
        <v>1400000</v>
      </c>
      <c r="J104" s="53">
        <f>SUM(F93:F104)</f>
        <v>838230.84722222225</v>
      </c>
    </row>
    <row r="105" spans="1:10">
      <c r="A105">
        <f t="shared" si="11"/>
        <v>91</v>
      </c>
      <c r="B105" s="229">
        <f t="shared" si="12"/>
        <v>48244</v>
      </c>
      <c r="C105" s="60"/>
      <c r="D105" s="64">
        <f t="shared" si="14"/>
        <v>11400000</v>
      </c>
      <c r="E105" s="63">
        <f>E104</f>
        <v>120000</v>
      </c>
      <c r="F105" s="64">
        <f t="shared" si="15"/>
        <v>66761.600000000006</v>
      </c>
      <c r="G105" s="63">
        <f t="shared" si="13"/>
        <v>186761.60000000001</v>
      </c>
      <c r="H105">
        <f t="shared" si="17"/>
        <v>75</v>
      </c>
      <c r="I105" s="48"/>
      <c r="J105" s="48"/>
    </row>
    <row r="106" spans="1:10">
      <c r="A106">
        <f t="shared" si="11"/>
        <v>92</v>
      </c>
      <c r="B106" s="229">
        <f t="shared" si="12"/>
        <v>48273</v>
      </c>
      <c r="C106" s="60"/>
      <c r="D106" s="64">
        <f t="shared" si="14"/>
        <v>11280000</v>
      </c>
      <c r="E106" s="63">
        <f>E105</f>
        <v>120000</v>
      </c>
      <c r="F106" s="64">
        <f t="shared" si="15"/>
        <v>61803.833333333336</v>
      </c>
      <c r="G106" s="63">
        <f t="shared" si="13"/>
        <v>181803.83333333334</v>
      </c>
      <c r="H106">
        <f t="shared" si="17"/>
        <v>76</v>
      </c>
      <c r="I106" s="48"/>
      <c r="J106" s="48"/>
    </row>
    <row r="107" spans="1:10">
      <c r="A107">
        <f t="shared" si="11"/>
        <v>93</v>
      </c>
      <c r="B107" s="229">
        <f t="shared" si="12"/>
        <v>48304</v>
      </c>
      <c r="C107" s="60"/>
      <c r="D107" s="64">
        <f t="shared" si="14"/>
        <v>11160000</v>
      </c>
      <c r="E107" s="63">
        <f>E106</f>
        <v>120000</v>
      </c>
      <c r="F107" s="64">
        <f t="shared" si="15"/>
        <v>65370.73333333333</v>
      </c>
      <c r="G107" s="63">
        <f t="shared" si="13"/>
        <v>185370.73333333334</v>
      </c>
      <c r="H107">
        <f t="shared" si="17"/>
        <v>77</v>
      </c>
      <c r="I107" s="48"/>
      <c r="J107" s="48"/>
    </row>
    <row r="108" spans="1:10">
      <c r="A108">
        <f t="shared" si="11"/>
        <v>94</v>
      </c>
      <c r="B108" s="229">
        <f t="shared" si="12"/>
        <v>48334</v>
      </c>
      <c r="C108" s="60"/>
      <c r="D108" s="64">
        <f t="shared" si="14"/>
        <v>11040000</v>
      </c>
      <c r="E108" s="63">
        <f t="shared" si="16"/>
        <v>120000</v>
      </c>
      <c r="F108" s="64">
        <f t="shared" si="15"/>
        <v>62589</v>
      </c>
      <c r="G108" s="63">
        <f t="shared" si="13"/>
        <v>182589</v>
      </c>
      <c r="H108">
        <f t="shared" si="17"/>
        <v>78</v>
      </c>
      <c r="I108" s="48"/>
      <c r="J108" s="48"/>
    </row>
    <row r="109" spans="1:10">
      <c r="A109">
        <f t="shared" si="11"/>
        <v>95</v>
      </c>
      <c r="B109" s="229">
        <f t="shared" si="12"/>
        <v>48365</v>
      </c>
      <c r="C109" s="60"/>
      <c r="D109" s="64">
        <f t="shared" si="14"/>
        <v>10920000</v>
      </c>
      <c r="E109" s="63">
        <v>140000</v>
      </c>
      <c r="F109" s="64">
        <f t="shared" si="15"/>
        <v>63979.866666666669</v>
      </c>
      <c r="G109" s="63">
        <f t="shared" si="13"/>
        <v>203979.86666666667</v>
      </c>
      <c r="H109">
        <f t="shared" si="17"/>
        <v>79</v>
      </c>
      <c r="I109" s="48"/>
      <c r="J109" s="48"/>
    </row>
    <row r="110" spans="1:10">
      <c r="A110">
        <f t="shared" si="11"/>
        <v>96</v>
      </c>
      <c r="B110" s="229">
        <f t="shared" si="12"/>
        <v>48395</v>
      </c>
      <c r="C110" s="60"/>
      <c r="D110" s="64">
        <f t="shared" si="14"/>
        <v>10780000</v>
      </c>
      <c r="E110" s="63">
        <f t="shared" si="16"/>
        <v>140000</v>
      </c>
      <c r="F110" s="64">
        <f t="shared" si="15"/>
        <v>61243</v>
      </c>
      <c r="G110" s="63">
        <f t="shared" si="13"/>
        <v>201243</v>
      </c>
      <c r="H110">
        <f t="shared" si="17"/>
        <v>80</v>
      </c>
      <c r="I110" s="48"/>
      <c r="J110" s="48"/>
    </row>
    <row r="111" spans="1:10">
      <c r="A111">
        <f t="shared" si="11"/>
        <v>97</v>
      </c>
      <c r="B111" s="229">
        <f t="shared" si="12"/>
        <v>48426</v>
      </c>
      <c r="C111" s="60"/>
      <c r="D111" s="64">
        <f t="shared" si="14"/>
        <v>10640000</v>
      </c>
      <c r="E111" s="63">
        <f t="shared" si="16"/>
        <v>140000</v>
      </c>
      <c r="F111" s="64">
        <f t="shared" si="15"/>
        <v>62473.094444444447</v>
      </c>
      <c r="G111" s="63">
        <f t="shared" si="13"/>
        <v>202473.09444444446</v>
      </c>
      <c r="H111">
        <f t="shared" si="17"/>
        <v>81</v>
      </c>
      <c r="I111" s="48"/>
      <c r="J111" s="48"/>
    </row>
    <row r="112" spans="1:10">
      <c r="A112">
        <f t="shared" si="11"/>
        <v>98</v>
      </c>
      <c r="B112" s="229">
        <f t="shared" si="12"/>
        <v>48457</v>
      </c>
      <c r="C112" s="60"/>
      <c r="D112" s="64">
        <f t="shared" si="14"/>
        <v>10500000</v>
      </c>
      <c r="E112" s="63">
        <f t="shared" si="16"/>
        <v>140000</v>
      </c>
      <c r="F112" s="64">
        <f t="shared" si="15"/>
        <v>61661.755555555559</v>
      </c>
      <c r="G112" s="63">
        <f t="shared" si="13"/>
        <v>201661.75555555557</v>
      </c>
      <c r="H112">
        <f t="shared" si="17"/>
        <v>82</v>
      </c>
      <c r="I112" s="48"/>
      <c r="J112" s="48"/>
    </row>
    <row r="113" spans="1:10">
      <c r="A113">
        <f t="shared" si="11"/>
        <v>99</v>
      </c>
      <c r="B113" s="229">
        <f t="shared" si="12"/>
        <v>48487</v>
      </c>
      <c r="C113" s="60"/>
      <c r="D113" s="64">
        <f t="shared" si="14"/>
        <v>10360000</v>
      </c>
      <c r="E113" s="63">
        <f t="shared" si="16"/>
        <v>140000</v>
      </c>
      <c r="F113" s="64">
        <f t="shared" si="15"/>
        <v>58887.5</v>
      </c>
      <c r="G113" s="63">
        <f t="shared" si="13"/>
        <v>198887.5</v>
      </c>
      <c r="H113">
        <f t="shared" si="17"/>
        <v>83</v>
      </c>
      <c r="I113" s="48"/>
      <c r="J113" s="48"/>
    </row>
    <row r="114" spans="1:10">
      <c r="A114">
        <f t="shared" si="11"/>
        <v>100</v>
      </c>
      <c r="B114" s="229">
        <f t="shared" si="12"/>
        <v>48518</v>
      </c>
      <c r="C114" s="60"/>
      <c r="D114" s="64">
        <f t="shared" si="14"/>
        <v>10220000</v>
      </c>
      <c r="E114" s="63">
        <f t="shared" si="16"/>
        <v>140000</v>
      </c>
      <c r="F114" s="64">
        <f t="shared" si="15"/>
        <v>60039.077777777777</v>
      </c>
      <c r="G114" s="63">
        <f t="shared" si="13"/>
        <v>200039.07777777777</v>
      </c>
      <c r="H114">
        <f t="shared" si="17"/>
        <v>84</v>
      </c>
      <c r="I114" s="48"/>
      <c r="J114" s="48"/>
    </row>
    <row r="115" spans="1:10">
      <c r="A115">
        <f t="shared" si="11"/>
        <v>101</v>
      </c>
      <c r="B115" s="229">
        <f t="shared" si="12"/>
        <v>48548</v>
      </c>
      <c r="C115" s="60"/>
      <c r="D115" s="64">
        <f t="shared" si="14"/>
        <v>10080000</v>
      </c>
      <c r="E115" s="63">
        <f t="shared" si="16"/>
        <v>140000</v>
      </c>
      <c r="F115" s="64">
        <f t="shared" si="15"/>
        <v>57317.166666666664</v>
      </c>
      <c r="G115" s="63">
        <f t="shared" si="13"/>
        <v>197317.16666666666</v>
      </c>
      <c r="H115">
        <f t="shared" si="17"/>
        <v>85</v>
      </c>
      <c r="I115" s="48"/>
      <c r="J115" s="48"/>
    </row>
    <row r="116" spans="1:10" s="230" customFormat="1">
      <c r="A116" s="230">
        <f t="shared" si="11"/>
        <v>102</v>
      </c>
      <c r="B116" s="231">
        <f t="shared" si="12"/>
        <v>48579</v>
      </c>
      <c r="C116" s="234"/>
      <c r="D116" s="233">
        <f t="shared" si="14"/>
        <v>9940000</v>
      </c>
      <c r="E116" s="232">
        <f t="shared" si="16"/>
        <v>140000</v>
      </c>
      <c r="F116" s="233">
        <f t="shared" si="15"/>
        <v>58416.4</v>
      </c>
      <c r="G116" s="232">
        <f t="shared" si="13"/>
        <v>198416.4</v>
      </c>
      <c r="H116" s="230">
        <f t="shared" si="17"/>
        <v>86</v>
      </c>
      <c r="I116" s="53">
        <f>SUM(E105:E116)</f>
        <v>1600000</v>
      </c>
      <c r="J116" s="53">
        <f>SUM(F105:F116)</f>
        <v>740543.02777777775</v>
      </c>
    </row>
    <row r="117" spans="1:10">
      <c r="A117">
        <f t="shared" si="11"/>
        <v>103</v>
      </c>
      <c r="B117" s="229">
        <f t="shared" si="12"/>
        <v>48610</v>
      </c>
      <c r="C117" s="60"/>
      <c r="D117" s="64">
        <f t="shared" si="14"/>
        <v>9800000</v>
      </c>
      <c r="E117" s="63">
        <f>E116</f>
        <v>140000</v>
      </c>
      <c r="F117" s="64">
        <f t="shared" si="15"/>
        <v>57605.061111111114</v>
      </c>
      <c r="G117" s="63">
        <f t="shared" si="13"/>
        <v>197605.06111111111</v>
      </c>
      <c r="H117">
        <f t="shared" si="17"/>
        <v>87</v>
      </c>
      <c r="I117" s="48"/>
      <c r="J117" s="48"/>
    </row>
    <row r="118" spans="1:10">
      <c r="A118">
        <f t="shared" si="11"/>
        <v>104</v>
      </c>
      <c r="B118" s="229">
        <f t="shared" si="12"/>
        <v>48638</v>
      </c>
      <c r="C118" s="60"/>
      <c r="D118" s="64">
        <f t="shared" si="14"/>
        <v>9660000</v>
      </c>
      <c r="E118" s="63">
        <f>E117</f>
        <v>140000</v>
      </c>
      <c r="F118" s="64">
        <f t="shared" si="15"/>
        <v>51297.555555555555</v>
      </c>
      <c r="G118" s="63">
        <f t="shared" si="13"/>
        <v>191297.55555555556</v>
      </c>
      <c r="H118">
        <f t="shared" si="17"/>
        <v>88</v>
      </c>
      <c r="I118" s="48"/>
      <c r="J118" s="48"/>
    </row>
    <row r="119" spans="1:10">
      <c r="A119">
        <f t="shared" si="11"/>
        <v>105</v>
      </c>
      <c r="B119" s="229">
        <f t="shared" si="12"/>
        <v>48669</v>
      </c>
      <c r="C119" s="60"/>
      <c r="D119" s="64">
        <f t="shared" si="14"/>
        <v>9520000</v>
      </c>
      <c r="E119" s="63">
        <f>E118</f>
        <v>140000</v>
      </c>
      <c r="F119" s="64">
        <f t="shared" si="15"/>
        <v>55982.383333333331</v>
      </c>
      <c r="G119" s="63">
        <f t="shared" si="13"/>
        <v>195982.38333333333</v>
      </c>
      <c r="H119">
        <f t="shared" si="17"/>
        <v>89</v>
      </c>
      <c r="I119" s="48"/>
      <c r="J119" s="48"/>
    </row>
    <row r="120" spans="1:10">
      <c r="A120">
        <f t="shared" si="11"/>
        <v>106</v>
      </c>
      <c r="B120" s="229">
        <f t="shared" si="12"/>
        <v>48699</v>
      </c>
      <c r="C120" s="60"/>
      <c r="D120" s="64">
        <f t="shared" si="14"/>
        <v>9380000</v>
      </c>
      <c r="E120" s="63">
        <f t="shared" si="16"/>
        <v>140000</v>
      </c>
      <c r="F120" s="64">
        <f t="shared" si="15"/>
        <v>53391.333333333336</v>
      </c>
      <c r="G120" s="63">
        <f t="shared" si="13"/>
        <v>193391.33333333334</v>
      </c>
      <c r="H120">
        <f t="shared" si="17"/>
        <v>90</v>
      </c>
      <c r="I120" s="48"/>
      <c r="J120" s="48"/>
    </row>
    <row r="121" spans="1:10">
      <c r="A121">
        <f t="shared" si="11"/>
        <v>107</v>
      </c>
      <c r="B121" s="229">
        <f t="shared" si="12"/>
        <v>48730</v>
      </c>
      <c r="C121" s="60"/>
      <c r="D121" s="64">
        <f t="shared" si="14"/>
        <v>9240000</v>
      </c>
      <c r="E121" s="63">
        <v>160000</v>
      </c>
      <c r="F121" s="64">
        <f t="shared" si="15"/>
        <v>54359.705555555556</v>
      </c>
      <c r="G121" s="63">
        <f t="shared" si="13"/>
        <v>214359.70555555556</v>
      </c>
      <c r="H121">
        <f t="shared" si="17"/>
        <v>91</v>
      </c>
      <c r="I121" s="48"/>
      <c r="J121" s="48"/>
    </row>
    <row r="122" spans="1:10">
      <c r="A122">
        <f t="shared" si="11"/>
        <v>108</v>
      </c>
      <c r="B122" s="229">
        <f t="shared" si="12"/>
        <v>48760</v>
      </c>
      <c r="C122" s="60"/>
      <c r="D122" s="64">
        <f t="shared" si="14"/>
        <v>9080000</v>
      </c>
      <c r="E122" s="63">
        <f t="shared" si="16"/>
        <v>160000</v>
      </c>
      <c r="F122" s="64">
        <f t="shared" si="15"/>
        <v>51821</v>
      </c>
      <c r="G122" s="63">
        <f t="shared" si="13"/>
        <v>211821</v>
      </c>
      <c r="H122">
        <f t="shared" si="17"/>
        <v>92</v>
      </c>
      <c r="I122" s="48"/>
      <c r="J122" s="48"/>
    </row>
    <row r="123" spans="1:10">
      <c r="A123">
        <f t="shared" si="11"/>
        <v>109</v>
      </c>
      <c r="B123" s="229">
        <f t="shared" si="12"/>
        <v>48791</v>
      </c>
      <c r="C123" s="60"/>
      <c r="D123" s="64">
        <f t="shared" si="14"/>
        <v>8920000</v>
      </c>
      <c r="E123" s="63">
        <f t="shared" si="16"/>
        <v>160000</v>
      </c>
      <c r="F123" s="64">
        <f t="shared" si="15"/>
        <v>52621.12222222222</v>
      </c>
      <c r="G123" s="63">
        <f t="shared" si="13"/>
        <v>212621.12222222221</v>
      </c>
      <c r="H123">
        <f t="shared" si="17"/>
        <v>93</v>
      </c>
      <c r="I123" s="48"/>
      <c r="J123" s="48"/>
    </row>
    <row r="124" spans="1:10">
      <c r="A124">
        <f t="shared" si="11"/>
        <v>110</v>
      </c>
      <c r="B124" s="229">
        <f t="shared" si="12"/>
        <v>48822</v>
      </c>
      <c r="C124" s="60"/>
      <c r="D124" s="64">
        <f t="shared" si="14"/>
        <v>8760000</v>
      </c>
      <c r="E124" s="63">
        <f t="shared" si="16"/>
        <v>160000</v>
      </c>
      <c r="F124" s="64">
        <f t="shared" si="15"/>
        <v>51693.87777777778</v>
      </c>
      <c r="G124" s="63">
        <f t="shared" si="13"/>
        <v>211693.87777777779</v>
      </c>
      <c r="H124">
        <f t="shared" si="17"/>
        <v>94</v>
      </c>
      <c r="I124" s="48"/>
      <c r="J124" s="48"/>
    </row>
    <row r="125" spans="1:10">
      <c r="A125">
        <f t="shared" si="11"/>
        <v>111</v>
      </c>
      <c r="B125" s="229">
        <f t="shared" si="12"/>
        <v>48852</v>
      </c>
      <c r="C125" s="60"/>
      <c r="D125" s="64">
        <f t="shared" si="14"/>
        <v>8600000</v>
      </c>
      <c r="E125" s="63">
        <f t="shared" si="16"/>
        <v>160000</v>
      </c>
      <c r="F125" s="64">
        <f t="shared" si="15"/>
        <v>49129</v>
      </c>
      <c r="G125" s="63">
        <f t="shared" si="13"/>
        <v>209129</v>
      </c>
      <c r="H125">
        <f t="shared" si="17"/>
        <v>95</v>
      </c>
      <c r="I125" s="48"/>
      <c r="J125" s="48"/>
    </row>
    <row r="126" spans="1:10">
      <c r="A126">
        <f t="shared" si="11"/>
        <v>112</v>
      </c>
      <c r="B126" s="229">
        <f t="shared" si="12"/>
        <v>48883</v>
      </c>
      <c r="C126" s="60"/>
      <c r="D126" s="64">
        <f t="shared" si="14"/>
        <v>8440000</v>
      </c>
      <c r="E126" s="63">
        <f t="shared" si="16"/>
        <v>160000</v>
      </c>
      <c r="F126" s="64">
        <f t="shared" si="15"/>
        <v>49839.388888888891</v>
      </c>
      <c r="G126" s="63">
        <f t="shared" si="13"/>
        <v>209839.38888888888</v>
      </c>
      <c r="H126">
        <f t="shared" si="17"/>
        <v>96</v>
      </c>
      <c r="I126" s="48"/>
      <c r="J126" s="48"/>
    </row>
    <row r="127" spans="1:10">
      <c r="A127">
        <f t="shared" si="11"/>
        <v>113</v>
      </c>
      <c r="B127" s="229">
        <f t="shared" si="12"/>
        <v>48913</v>
      </c>
      <c r="C127" s="60"/>
      <c r="D127" s="64">
        <f t="shared" si="14"/>
        <v>8280000</v>
      </c>
      <c r="E127" s="63">
        <f t="shared" si="16"/>
        <v>160000</v>
      </c>
      <c r="F127" s="64">
        <f t="shared" si="15"/>
        <v>47334.333333333336</v>
      </c>
      <c r="G127" s="63">
        <f t="shared" si="13"/>
        <v>207334.33333333334</v>
      </c>
      <c r="H127">
        <f t="shared" si="17"/>
        <v>97</v>
      </c>
      <c r="I127" s="48"/>
      <c r="J127" s="48"/>
    </row>
    <row r="128" spans="1:10" s="230" customFormat="1">
      <c r="A128" s="230">
        <f t="shared" si="11"/>
        <v>114</v>
      </c>
      <c r="B128" s="231">
        <f t="shared" si="12"/>
        <v>48944</v>
      </c>
      <c r="C128" s="234"/>
      <c r="D128" s="233">
        <f t="shared" si="14"/>
        <v>8120000</v>
      </c>
      <c r="E128" s="232">
        <f t="shared" si="16"/>
        <v>160000</v>
      </c>
      <c r="F128" s="233">
        <f t="shared" si="15"/>
        <v>47984.9</v>
      </c>
      <c r="G128" s="232">
        <f t="shared" si="13"/>
        <v>207984.9</v>
      </c>
      <c r="H128" s="230">
        <f t="shared" si="17"/>
        <v>98</v>
      </c>
      <c r="I128" s="53">
        <f>SUM(E117:E128)</f>
        <v>1840000</v>
      </c>
      <c r="J128" s="53">
        <f>SUM(F117:F128)</f>
        <v>623059.66111111117</v>
      </c>
    </row>
    <row r="129" spans="1:10">
      <c r="A129">
        <f t="shared" si="11"/>
        <v>115</v>
      </c>
      <c r="B129" s="229">
        <f t="shared" si="12"/>
        <v>48975</v>
      </c>
      <c r="C129" s="60"/>
      <c r="D129" s="64">
        <f t="shared" si="14"/>
        <v>7960000</v>
      </c>
      <c r="E129" s="63">
        <f>E128</f>
        <v>160000</v>
      </c>
      <c r="F129" s="64">
        <f t="shared" si="15"/>
        <v>47057.655555555553</v>
      </c>
      <c r="G129" s="63">
        <f t="shared" si="13"/>
        <v>207057.65555555554</v>
      </c>
      <c r="H129">
        <f t="shared" si="17"/>
        <v>99</v>
      </c>
      <c r="I129" s="48"/>
      <c r="J129" s="48"/>
    </row>
    <row r="130" spans="1:10">
      <c r="A130">
        <f t="shared" si="11"/>
        <v>116</v>
      </c>
      <c r="B130" s="229">
        <f t="shared" si="12"/>
        <v>49003</v>
      </c>
      <c r="C130" s="60"/>
      <c r="D130" s="64">
        <f t="shared" si="14"/>
        <v>7800000</v>
      </c>
      <c r="E130" s="63">
        <f>E129</f>
        <v>160000</v>
      </c>
      <c r="F130" s="64">
        <f t="shared" si="15"/>
        <v>41666.177777777775</v>
      </c>
      <c r="G130" s="63">
        <f t="shared" si="13"/>
        <v>201666.17777777778</v>
      </c>
      <c r="H130">
        <f t="shared" si="17"/>
        <v>100</v>
      </c>
      <c r="I130" s="48"/>
      <c r="J130" s="48"/>
    </row>
    <row r="131" spans="1:10">
      <c r="A131">
        <f t="shared" si="11"/>
        <v>117</v>
      </c>
      <c r="B131" s="229">
        <f t="shared" si="12"/>
        <v>49034</v>
      </c>
      <c r="C131" s="60"/>
      <c r="D131" s="64">
        <f t="shared" si="14"/>
        <v>7640000</v>
      </c>
      <c r="E131" s="63">
        <f>E130</f>
        <v>160000</v>
      </c>
      <c r="F131" s="64">
        <f t="shared" si="15"/>
        <v>45203.166666666664</v>
      </c>
      <c r="G131" s="63">
        <f t="shared" si="13"/>
        <v>205203.16666666666</v>
      </c>
      <c r="H131">
        <f t="shared" si="17"/>
        <v>101</v>
      </c>
      <c r="I131" s="48"/>
      <c r="J131" s="48"/>
    </row>
    <row r="132" spans="1:10">
      <c r="A132">
        <f t="shared" si="11"/>
        <v>118</v>
      </c>
      <c r="B132" s="229">
        <f t="shared" si="12"/>
        <v>49064</v>
      </c>
      <c r="C132" s="60"/>
      <c r="D132" s="64">
        <f t="shared" si="14"/>
        <v>7480000</v>
      </c>
      <c r="E132" s="63">
        <f t="shared" si="16"/>
        <v>160000</v>
      </c>
      <c r="F132" s="64">
        <f t="shared" si="15"/>
        <v>42847.666666666672</v>
      </c>
      <c r="G132" s="63">
        <f t="shared" si="13"/>
        <v>202847.66666666669</v>
      </c>
      <c r="H132">
        <f t="shared" si="17"/>
        <v>102</v>
      </c>
      <c r="I132" s="48"/>
      <c r="J132" s="48"/>
    </row>
    <row r="133" spans="1:10">
      <c r="A133">
        <f t="shared" ref="A133:A158" si="18">A132+1</f>
        <v>119</v>
      </c>
      <c r="B133" s="229">
        <f t="shared" ref="B133:B158" si="19">EOMONTH(B132,1)</f>
        <v>49095</v>
      </c>
      <c r="C133" s="60"/>
      <c r="D133" s="64">
        <f t="shared" si="14"/>
        <v>7320000</v>
      </c>
      <c r="E133" s="63">
        <v>220000</v>
      </c>
      <c r="F133" s="64">
        <f t="shared" si="15"/>
        <v>43348.677777777775</v>
      </c>
      <c r="G133" s="63">
        <f t="shared" si="13"/>
        <v>263348.67777777778</v>
      </c>
      <c r="H133">
        <f t="shared" si="17"/>
        <v>103</v>
      </c>
      <c r="I133" s="48"/>
      <c r="J133" s="48"/>
    </row>
    <row r="134" spans="1:10">
      <c r="A134">
        <f t="shared" si="18"/>
        <v>120</v>
      </c>
      <c r="B134" s="229">
        <f t="shared" si="19"/>
        <v>49125</v>
      </c>
      <c r="C134" s="60"/>
      <c r="D134" s="64">
        <f t="shared" si="14"/>
        <v>7100000</v>
      </c>
      <c r="E134" s="63">
        <f t="shared" si="16"/>
        <v>220000</v>
      </c>
      <c r="F134" s="64">
        <f t="shared" si="15"/>
        <v>41053.000000000007</v>
      </c>
      <c r="G134" s="63">
        <f t="shared" si="13"/>
        <v>261053</v>
      </c>
      <c r="H134">
        <f t="shared" si="17"/>
        <v>104</v>
      </c>
      <c r="I134" s="48"/>
      <c r="J134" s="48"/>
    </row>
    <row r="135" spans="1:10">
      <c r="A135">
        <f t="shared" si="18"/>
        <v>121</v>
      </c>
      <c r="B135" s="229">
        <f t="shared" si="19"/>
        <v>49156</v>
      </c>
      <c r="C135" s="60"/>
      <c r="D135" s="64">
        <f t="shared" si="14"/>
        <v>6880000</v>
      </c>
      <c r="E135" s="63">
        <f t="shared" si="16"/>
        <v>220000</v>
      </c>
      <c r="F135" s="64">
        <f t="shared" si="15"/>
        <v>41146.472222222219</v>
      </c>
      <c r="G135" s="63">
        <f t="shared" ref="G135:G147" si="20">E135+F135</f>
        <v>261146.47222222222</v>
      </c>
      <c r="H135">
        <f t="shared" si="17"/>
        <v>105</v>
      </c>
      <c r="I135" s="48"/>
      <c r="J135" s="48"/>
    </row>
    <row r="136" spans="1:10">
      <c r="A136">
        <f t="shared" si="18"/>
        <v>122</v>
      </c>
      <c r="B136" s="229">
        <f t="shared" si="19"/>
        <v>49187</v>
      </c>
      <c r="C136" s="60"/>
      <c r="D136" s="64">
        <f t="shared" si="14"/>
        <v>6660000</v>
      </c>
      <c r="E136" s="63">
        <f t="shared" si="16"/>
        <v>220000</v>
      </c>
      <c r="F136" s="64">
        <f t="shared" si="15"/>
        <v>39871.511111111111</v>
      </c>
      <c r="G136" s="63">
        <f t="shared" si="20"/>
        <v>259871.51111111112</v>
      </c>
      <c r="H136">
        <f t="shared" si="17"/>
        <v>106</v>
      </c>
      <c r="I136" s="48"/>
      <c r="J136" s="48"/>
    </row>
    <row r="137" spans="1:10">
      <c r="A137">
        <f t="shared" si="18"/>
        <v>123</v>
      </c>
      <c r="B137" s="229">
        <f t="shared" si="19"/>
        <v>49217</v>
      </c>
      <c r="C137" s="60"/>
      <c r="D137" s="64">
        <f t="shared" si="14"/>
        <v>6440000</v>
      </c>
      <c r="E137" s="63">
        <f t="shared" si="16"/>
        <v>220000</v>
      </c>
      <c r="F137" s="64">
        <f t="shared" si="15"/>
        <v>37351.5</v>
      </c>
      <c r="G137" s="63">
        <f t="shared" si="20"/>
        <v>257351.5</v>
      </c>
      <c r="H137">
        <f t="shared" si="17"/>
        <v>107</v>
      </c>
      <c r="I137" s="48"/>
      <c r="J137" s="48"/>
    </row>
    <row r="138" spans="1:10">
      <c r="A138">
        <f t="shared" si="18"/>
        <v>124</v>
      </c>
      <c r="B138" s="229">
        <f t="shared" si="19"/>
        <v>49248</v>
      </c>
      <c r="C138" s="60"/>
      <c r="D138" s="64">
        <f t="shared" si="14"/>
        <v>6220000</v>
      </c>
      <c r="E138" s="63">
        <f t="shared" si="16"/>
        <v>220000</v>
      </c>
      <c r="F138" s="64">
        <f t="shared" si="15"/>
        <v>37321.588888888888</v>
      </c>
      <c r="G138" s="63">
        <f t="shared" si="20"/>
        <v>257321.58888888889</v>
      </c>
      <c r="H138">
        <f t="shared" si="17"/>
        <v>108</v>
      </c>
      <c r="I138" s="48"/>
      <c r="J138" s="48"/>
    </row>
    <row r="139" spans="1:10">
      <c r="A139">
        <f t="shared" si="18"/>
        <v>125</v>
      </c>
      <c r="B139" s="229">
        <f t="shared" si="19"/>
        <v>49278</v>
      </c>
      <c r="C139" s="60"/>
      <c r="D139" s="64">
        <f t="shared" si="14"/>
        <v>6000000</v>
      </c>
      <c r="E139" s="63">
        <f t="shared" si="16"/>
        <v>220000</v>
      </c>
      <c r="F139" s="64">
        <f t="shared" si="15"/>
        <v>34883.833333333336</v>
      </c>
      <c r="G139" s="63">
        <f t="shared" si="20"/>
        <v>254883.83333333334</v>
      </c>
      <c r="H139">
        <f t="shared" si="17"/>
        <v>109</v>
      </c>
      <c r="I139" s="48"/>
      <c r="J139" s="48"/>
    </row>
    <row r="140" spans="1:10" s="230" customFormat="1">
      <c r="A140" s="230">
        <f t="shared" si="18"/>
        <v>126</v>
      </c>
      <c r="B140" s="231">
        <f t="shared" si="19"/>
        <v>49309</v>
      </c>
      <c r="C140" s="234"/>
      <c r="D140" s="233">
        <f t="shared" si="14"/>
        <v>5780000</v>
      </c>
      <c r="E140" s="232">
        <f t="shared" si="16"/>
        <v>220000</v>
      </c>
      <c r="F140" s="233">
        <f t="shared" si="15"/>
        <v>34771.666666666664</v>
      </c>
      <c r="G140" s="232">
        <f t="shared" si="20"/>
        <v>254771.66666666666</v>
      </c>
      <c r="H140" s="230">
        <f t="shared" si="17"/>
        <v>110</v>
      </c>
      <c r="I140" s="53">
        <f>SUM(E129:E140)</f>
        <v>2400000</v>
      </c>
      <c r="J140" s="53">
        <f>SUM(F129:F140)</f>
        <v>486522.91666666663</v>
      </c>
    </row>
    <row r="141" spans="1:10">
      <c r="A141">
        <f t="shared" si="18"/>
        <v>127</v>
      </c>
      <c r="B141" s="229">
        <f t="shared" si="19"/>
        <v>49340</v>
      </c>
      <c r="C141" s="60"/>
      <c r="D141" s="64">
        <f t="shared" si="14"/>
        <v>5560000</v>
      </c>
      <c r="E141" s="63">
        <f>E140</f>
        <v>220000</v>
      </c>
      <c r="F141" s="64">
        <f t="shared" si="15"/>
        <v>33496.705555555556</v>
      </c>
      <c r="G141" s="63">
        <f t="shared" si="20"/>
        <v>253496.70555555556</v>
      </c>
      <c r="H141">
        <f t="shared" si="17"/>
        <v>111</v>
      </c>
      <c r="I141" s="48"/>
      <c r="J141" s="48"/>
    </row>
    <row r="142" spans="1:10">
      <c r="A142">
        <f t="shared" si="18"/>
        <v>128</v>
      </c>
      <c r="B142" s="229">
        <f t="shared" si="19"/>
        <v>49368</v>
      </c>
      <c r="C142" s="60"/>
      <c r="D142" s="64">
        <f t="shared" si="14"/>
        <v>5340000</v>
      </c>
      <c r="E142" s="63">
        <f>E141</f>
        <v>220000</v>
      </c>
      <c r="F142" s="64">
        <f t="shared" si="15"/>
        <v>29103.511111111111</v>
      </c>
      <c r="G142" s="63">
        <f t="shared" si="20"/>
        <v>249103.51111111112</v>
      </c>
      <c r="H142">
        <f t="shared" si="17"/>
        <v>112</v>
      </c>
      <c r="I142" s="48"/>
      <c r="J142" s="48"/>
    </row>
    <row r="143" spans="1:10">
      <c r="A143">
        <f t="shared" si="18"/>
        <v>129</v>
      </c>
      <c r="B143" s="229">
        <f t="shared" si="19"/>
        <v>49399</v>
      </c>
      <c r="C143" s="60"/>
      <c r="D143" s="64">
        <f t="shared" si="14"/>
        <v>5120000</v>
      </c>
      <c r="E143" s="63">
        <f>E142</f>
        <v>220000</v>
      </c>
      <c r="F143" s="64">
        <f t="shared" si="15"/>
        <v>30946.783333333333</v>
      </c>
      <c r="G143" s="63">
        <f t="shared" si="20"/>
        <v>250946.78333333333</v>
      </c>
      <c r="H143">
        <f t="shared" si="17"/>
        <v>113</v>
      </c>
      <c r="I143" s="48"/>
      <c r="J143" s="48"/>
    </row>
    <row r="144" spans="1:10">
      <c r="A144">
        <f t="shared" si="18"/>
        <v>130</v>
      </c>
      <c r="B144" s="229">
        <f t="shared" si="19"/>
        <v>49429</v>
      </c>
      <c r="C144" s="60"/>
      <c r="D144" s="64">
        <f t="shared" si="14"/>
        <v>4900000</v>
      </c>
      <c r="E144" s="63">
        <f t="shared" si="16"/>
        <v>220000</v>
      </c>
      <c r="F144" s="64">
        <f t="shared" si="15"/>
        <v>28714.666666666668</v>
      </c>
      <c r="G144" s="63">
        <f t="shared" si="20"/>
        <v>248714.66666666666</v>
      </c>
      <c r="H144">
        <f t="shared" si="17"/>
        <v>114</v>
      </c>
      <c r="I144" s="48"/>
      <c r="J144" s="48"/>
    </row>
    <row r="145" spans="1:13" s="245" customFormat="1">
      <c r="A145" s="245">
        <f t="shared" si="18"/>
        <v>131</v>
      </c>
      <c r="B145" s="235">
        <f t="shared" si="19"/>
        <v>49460</v>
      </c>
      <c r="C145" s="236"/>
      <c r="D145" s="237">
        <f t="shared" si="14"/>
        <v>4680000</v>
      </c>
      <c r="E145" s="219">
        <v>320000</v>
      </c>
      <c r="F145" s="237">
        <f t="shared" si="15"/>
        <v>28396.861111111109</v>
      </c>
      <c r="G145" s="219">
        <f t="shared" si="20"/>
        <v>348396.86111111112</v>
      </c>
      <c r="H145" s="245">
        <f t="shared" si="17"/>
        <v>115</v>
      </c>
      <c r="I145" s="54"/>
      <c r="J145" s="54"/>
    </row>
    <row r="146" spans="1:13" s="245" customFormat="1">
      <c r="A146" s="245">
        <f t="shared" si="18"/>
        <v>132</v>
      </c>
      <c r="B146" s="235">
        <f t="shared" si="19"/>
        <v>49490</v>
      </c>
      <c r="C146" s="236"/>
      <c r="D146" s="237">
        <f t="shared" si="14"/>
        <v>4360000</v>
      </c>
      <c r="E146" s="219">
        <f t="shared" si="16"/>
        <v>320000</v>
      </c>
      <c r="F146" s="237">
        <f t="shared" si="15"/>
        <v>26247</v>
      </c>
      <c r="G146" s="219">
        <f t="shared" si="20"/>
        <v>346247</v>
      </c>
      <c r="H146" s="245">
        <f t="shared" si="17"/>
        <v>116</v>
      </c>
      <c r="I146" s="54"/>
      <c r="J146" s="54"/>
    </row>
    <row r="147" spans="1:13">
      <c r="A147" s="245">
        <f t="shared" si="18"/>
        <v>133</v>
      </c>
      <c r="B147" s="235">
        <f t="shared" si="19"/>
        <v>49521</v>
      </c>
      <c r="C147" s="236"/>
      <c r="D147" s="237">
        <f t="shared" si="14"/>
        <v>4040000</v>
      </c>
      <c r="E147" s="219">
        <f t="shared" si="16"/>
        <v>320000</v>
      </c>
      <c r="F147" s="237">
        <f t="shared" si="15"/>
        <v>25267.411111111112</v>
      </c>
      <c r="G147" s="219">
        <f t="shared" si="20"/>
        <v>345267.41111111111</v>
      </c>
      <c r="H147">
        <f t="shared" si="17"/>
        <v>117</v>
      </c>
      <c r="I147" s="48"/>
      <c r="J147" s="48"/>
    </row>
    <row r="148" spans="1:13">
      <c r="A148" s="245">
        <f t="shared" si="18"/>
        <v>134</v>
      </c>
      <c r="B148" s="235">
        <f t="shared" si="19"/>
        <v>49552</v>
      </c>
      <c r="C148" s="236"/>
      <c r="D148" s="237">
        <f t="shared" ref="D148:D152" si="21">D147-E147</f>
        <v>3720000</v>
      </c>
      <c r="E148" s="219">
        <f t="shared" si="16"/>
        <v>320000</v>
      </c>
      <c r="F148" s="237">
        <f t="shared" ref="F148:F152" si="22">(B148-B147)*$D$4*D147/360</f>
        <v>23412.922222222223</v>
      </c>
      <c r="G148" s="219">
        <f t="shared" ref="G148:G152" si="23">E148+F148</f>
        <v>343412.9222222222</v>
      </c>
      <c r="H148">
        <f t="shared" si="17"/>
        <v>118</v>
      </c>
      <c r="I148" s="48"/>
      <c r="J148" s="48"/>
      <c r="M148" s="52">
        <f>E148*122</f>
        <v>39040000</v>
      </c>
    </row>
    <row r="149" spans="1:13">
      <c r="A149" s="245">
        <f t="shared" si="18"/>
        <v>135</v>
      </c>
      <c r="B149" s="235">
        <f t="shared" si="19"/>
        <v>49582</v>
      </c>
      <c r="C149" s="236"/>
      <c r="D149" s="237">
        <f t="shared" si="21"/>
        <v>3400000</v>
      </c>
      <c r="E149" s="219">
        <f t="shared" si="16"/>
        <v>320000</v>
      </c>
      <c r="F149" s="237">
        <f t="shared" si="22"/>
        <v>20863.000000000004</v>
      </c>
      <c r="G149" s="219">
        <f t="shared" si="23"/>
        <v>340863</v>
      </c>
      <c r="H149">
        <f t="shared" si="17"/>
        <v>119</v>
      </c>
      <c r="I149" s="48"/>
      <c r="J149" s="48"/>
    </row>
    <row r="150" spans="1:13">
      <c r="A150" s="245">
        <f t="shared" si="18"/>
        <v>136</v>
      </c>
      <c r="B150" s="235">
        <f t="shared" si="19"/>
        <v>49613</v>
      </c>
      <c r="C150" s="236"/>
      <c r="D150" s="237">
        <f t="shared" si="21"/>
        <v>3080000</v>
      </c>
      <c r="E150" s="219">
        <f t="shared" si="16"/>
        <v>320000</v>
      </c>
      <c r="F150" s="237">
        <f t="shared" si="22"/>
        <v>19703.944444444445</v>
      </c>
      <c r="G150" s="219">
        <f t="shared" si="23"/>
        <v>339703.94444444444</v>
      </c>
      <c r="H150">
        <f t="shared" si="17"/>
        <v>120</v>
      </c>
      <c r="I150" s="48"/>
      <c r="J150" s="48"/>
    </row>
    <row r="151" spans="1:13">
      <c r="A151" s="245">
        <f t="shared" si="18"/>
        <v>137</v>
      </c>
      <c r="B151" s="235">
        <f t="shared" si="19"/>
        <v>49643</v>
      </c>
      <c r="C151" s="236"/>
      <c r="D151" s="237">
        <f t="shared" si="21"/>
        <v>2760000</v>
      </c>
      <c r="E151" s="219">
        <f t="shared" si="16"/>
        <v>320000</v>
      </c>
      <c r="F151" s="237">
        <f t="shared" si="22"/>
        <v>17273.666666666668</v>
      </c>
      <c r="G151" s="219">
        <f t="shared" si="23"/>
        <v>337273.66666666669</v>
      </c>
      <c r="H151">
        <f t="shared" si="17"/>
        <v>121</v>
      </c>
      <c r="I151" s="48"/>
      <c r="J151" s="48"/>
    </row>
    <row r="152" spans="1:13" s="230" customFormat="1">
      <c r="A152" s="230">
        <f t="shared" si="18"/>
        <v>138</v>
      </c>
      <c r="B152" s="231">
        <f t="shared" si="19"/>
        <v>49674</v>
      </c>
      <c r="C152" s="234"/>
      <c r="D152" s="233">
        <f t="shared" si="21"/>
        <v>2440000</v>
      </c>
      <c r="E152" s="232">
        <f t="shared" si="16"/>
        <v>320000</v>
      </c>
      <c r="F152" s="233">
        <f t="shared" si="22"/>
        <v>15994.966666666667</v>
      </c>
      <c r="G152" s="232">
        <f t="shared" si="23"/>
        <v>335994.96666666667</v>
      </c>
      <c r="H152" s="230">
        <f t="shared" si="17"/>
        <v>122</v>
      </c>
      <c r="I152" s="53">
        <f>SUM(E141:E152)</f>
        <v>3440000</v>
      </c>
      <c r="J152" s="53">
        <f>SUM(F141:F152)</f>
        <v>299421.43888888892</v>
      </c>
    </row>
    <row r="153" spans="1:13">
      <c r="A153" s="245">
        <f t="shared" si="18"/>
        <v>139</v>
      </c>
      <c r="B153" s="235">
        <f t="shared" si="19"/>
        <v>49705</v>
      </c>
      <c r="C153" s="236"/>
      <c r="D153" s="237">
        <f t="shared" ref="D153:D154" si="24">D152-E152</f>
        <v>2120000</v>
      </c>
      <c r="E153" s="219">
        <f>E152</f>
        <v>320000</v>
      </c>
      <c r="F153" s="237">
        <f t="shared" ref="F153:F154" si="25">(B153-B152)*$D$4*D152/360</f>
        <v>14140.477777777778</v>
      </c>
      <c r="G153" s="219">
        <f t="shared" ref="G153:G154" si="26">E153+F153</f>
        <v>334140.47777777776</v>
      </c>
      <c r="H153" s="245">
        <f t="shared" ref="H153:H158" si="27">H152+1</f>
        <v>123</v>
      </c>
      <c r="I153" s="48"/>
      <c r="J153" s="48"/>
    </row>
    <row r="154" spans="1:13">
      <c r="A154" s="245">
        <f t="shared" si="18"/>
        <v>140</v>
      </c>
      <c r="B154" s="235">
        <f t="shared" si="19"/>
        <v>49734</v>
      </c>
      <c r="C154" s="236"/>
      <c r="D154" s="237">
        <f t="shared" si="24"/>
        <v>1800000</v>
      </c>
      <c r="E154" s="219">
        <f>E153</f>
        <v>320000</v>
      </c>
      <c r="F154" s="237">
        <f t="shared" si="25"/>
        <v>11493.344444444445</v>
      </c>
      <c r="G154" s="219">
        <f t="shared" si="26"/>
        <v>331493.34444444446</v>
      </c>
      <c r="H154" s="245">
        <f t="shared" si="27"/>
        <v>124</v>
      </c>
      <c r="I154" s="48">
        <f>SUM(E153:E158)</f>
        <v>2120000</v>
      </c>
      <c r="J154" s="48">
        <f>SUM(F153:F158)</f>
        <v>55799.177777777782</v>
      </c>
    </row>
    <row r="155" spans="1:13">
      <c r="A155" s="245">
        <f t="shared" si="18"/>
        <v>141</v>
      </c>
      <c r="B155" s="235">
        <f t="shared" si="19"/>
        <v>49765</v>
      </c>
      <c r="C155" s="236"/>
      <c r="D155" s="237">
        <f t="shared" ref="D155" si="28">D154-E154</f>
        <v>1480000</v>
      </c>
      <c r="E155" s="219">
        <f>E154</f>
        <v>320000</v>
      </c>
      <c r="F155" s="237">
        <f t="shared" ref="F155" si="29">(B155-B154)*$D$4*D154/360</f>
        <v>10431.5</v>
      </c>
      <c r="G155" s="219">
        <f t="shared" ref="G155" si="30">E155+F155</f>
        <v>330431.5</v>
      </c>
      <c r="H155" s="245">
        <f t="shared" si="27"/>
        <v>125</v>
      </c>
      <c r="I155" s="48"/>
      <c r="J155" s="48"/>
    </row>
    <row r="156" spans="1:13">
      <c r="A156" s="245">
        <f t="shared" si="18"/>
        <v>142</v>
      </c>
      <c r="B156" s="235">
        <f t="shared" si="19"/>
        <v>49795</v>
      </c>
      <c r="C156" s="236"/>
      <c r="D156" s="237">
        <f t="shared" ref="D156:D158" si="31">D155-E155</f>
        <v>1160000</v>
      </c>
      <c r="E156" s="219">
        <f t="shared" si="16"/>
        <v>320000</v>
      </c>
      <c r="F156" s="237">
        <f t="shared" ref="F156" si="32">(B156-B155)*$D$4*D155/360</f>
        <v>8300.3333333333339</v>
      </c>
      <c r="G156" s="219">
        <f t="shared" ref="G156" si="33">E156+F156</f>
        <v>328300.33333333331</v>
      </c>
      <c r="H156" s="245">
        <f t="shared" si="27"/>
        <v>126</v>
      </c>
      <c r="I156" s="48"/>
      <c r="J156" s="48"/>
    </row>
    <row r="157" spans="1:13">
      <c r="A157" s="245">
        <f t="shared" si="18"/>
        <v>143</v>
      </c>
      <c r="B157" s="235">
        <f t="shared" si="19"/>
        <v>49826</v>
      </c>
      <c r="C157" s="236"/>
      <c r="D157" s="237">
        <f t="shared" si="31"/>
        <v>840000</v>
      </c>
      <c r="E157" s="219">
        <v>420000</v>
      </c>
      <c r="F157" s="237">
        <f t="shared" ref="F157:F158" si="34">(B157-B156)*$D$4*D156/360</f>
        <v>6722.5222222222219</v>
      </c>
      <c r="G157" s="219">
        <f t="shared" ref="G157:G158" si="35">E157+F157</f>
        <v>426722.52222222224</v>
      </c>
      <c r="H157" s="245">
        <f t="shared" si="27"/>
        <v>127</v>
      </c>
      <c r="I157" s="48"/>
      <c r="J157" s="48"/>
    </row>
    <row r="158" spans="1:13">
      <c r="A158" s="245">
        <f t="shared" si="18"/>
        <v>144</v>
      </c>
      <c r="B158" s="235">
        <f t="shared" si="19"/>
        <v>49856</v>
      </c>
      <c r="C158" s="236"/>
      <c r="D158" s="237">
        <f t="shared" si="31"/>
        <v>420000</v>
      </c>
      <c r="E158" s="219">
        <f>E157</f>
        <v>420000</v>
      </c>
      <c r="F158" s="237">
        <f t="shared" si="34"/>
        <v>4711</v>
      </c>
      <c r="G158" s="219">
        <f t="shared" si="35"/>
        <v>424711</v>
      </c>
      <c r="H158" s="245">
        <f t="shared" si="27"/>
        <v>128</v>
      </c>
      <c r="I158" s="48"/>
      <c r="J158" s="48"/>
    </row>
    <row r="159" spans="1:13">
      <c r="B159" s="239" t="s">
        <v>32</v>
      </c>
      <c r="C159" s="240">
        <f>SUM(C9:C146)</f>
        <v>18000000</v>
      </c>
      <c r="D159" s="239"/>
      <c r="E159" s="241">
        <f>SUM(E29:E158)</f>
        <v>18000000</v>
      </c>
      <c r="F159" s="241">
        <f>SUM(F14:F158)</f>
        <v>8852249.416666666</v>
      </c>
      <c r="G159" s="241">
        <f>SUM(G14:G158)</f>
        <v>26852249.416666668</v>
      </c>
      <c r="I159" s="48"/>
      <c r="J159" s="48"/>
      <c r="M159">
        <f>144-20</f>
        <v>124</v>
      </c>
    </row>
    <row r="160" spans="1:13">
      <c r="I160" s="52">
        <f>SUM(I20:I159)</f>
        <v>18000000</v>
      </c>
      <c r="J160" s="52">
        <f>SUM(J20:J159)</f>
        <v>8852249.4166666679</v>
      </c>
    </row>
    <row r="164" spans="9:9">
      <c r="I164">
        <f>700000/14</f>
        <v>50000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43C0-1EAF-4D1E-943F-C01A12B3F036}">
  <dimension ref="A1:X139"/>
  <sheetViews>
    <sheetView workbookViewId="0">
      <selection activeCell="D5" sqref="D5"/>
    </sheetView>
  </sheetViews>
  <sheetFormatPr defaultRowHeight="14.4"/>
  <cols>
    <col min="1" max="1" width="4" bestFit="1" customWidth="1"/>
    <col min="2" max="2" width="9.88671875" bestFit="1" customWidth="1"/>
    <col min="3" max="3" width="14" bestFit="1" customWidth="1"/>
    <col min="4" max="4" width="17" customWidth="1"/>
    <col min="5" max="5" width="13.88671875" customWidth="1"/>
    <col min="6" max="6" width="14.33203125" bestFit="1" customWidth="1"/>
    <col min="7" max="7" width="14.109375" bestFit="1" customWidth="1"/>
    <col min="9" max="10" width="14.33203125" bestFit="1" customWidth="1"/>
    <col min="11" max="11" width="13.33203125" bestFit="1" customWidth="1"/>
    <col min="12" max="12" width="13.6640625" bestFit="1" customWidth="1"/>
    <col min="13" max="13" width="14.33203125" bestFit="1" customWidth="1"/>
    <col min="14" max="21" width="13.33203125" bestFit="1" customWidth="1"/>
    <col min="22" max="22" width="12.5546875" bestFit="1" customWidth="1"/>
    <col min="24" max="24" width="14.33203125" bestFit="1" customWidth="1"/>
  </cols>
  <sheetData>
    <row r="1" spans="1:24">
      <c r="C1" s="226" t="s">
        <v>82</v>
      </c>
    </row>
    <row r="3" spans="1:24">
      <c r="B3" s="226" t="s">
        <v>131</v>
      </c>
      <c r="C3" s="226"/>
      <c r="D3" s="227">
        <v>10000000</v>
      </c>
      <c r="E3" s="226" t="s">
        <v>62</v>
      </c>
      <c r="F3" s="226"/>
      <c r="G3" s="226"/>
    </row>
    <row r="4" spans="1:24">
      <c r="B4" t="s">
        <v>13</v>
      </c>
      <c r="D4" s="212">
        <v>8.5699999999999998E-2</v>
      </c>
      <c r="E4" s="52"/>
    </row>
    <row r="5" spans="1:24">
      <c r="B5" t="s">
        <v>132</v>
      </c>
      <c r="D5" s="212">
        <f>'credit nou fd UE 7.5 mio'!D5</f>
        <v>5.7799999999999997E-2</v>
      </c>
      <c r="E5" s="52"/>
    </row>
    <row r="6" spans="1:24">
      <c r="B6" t="s">
        <v>28</v>
      </c>
      <c r="D6" s="212">
        <v>0.02</v>
      </c>
      <c r="J6">
        <v>2025</v>
      </c>
      <c r="K6">
        <f>J6+1</f>
        <v>2026</v>
      </c>
      <c r="L6">
        <f t="shared" ref="L6:T6" si="0">K6+1</f>
        <v>2027</v>
      </c>
      <c r="M6">
        <f t="shared" si="0"/>
        <v>2028</v>
      </c>
      <c r="N6">
        <f t="shared" si="0"/>
        <v>2029</v>
      </c>
      <c r="O6">
        <f t="shared" si="0"/>
        <v>2030</v>
      </c>
      <c r="P6">
        <f t="shared" si="0"/>
        <v>2031</v>
      </c>
      <c r="Q6">
        <f t="shared" si="0"/>
        <v>2032</v>
      </c>
      <c r="R6">
        <f t="shared" si="0"/>
        <v>2033</v>
      </c>
      <c r="S6">
        <f t="shared" si="0"/>
        <v>2034</v>
      </c>
      <c r="T6">
        <f t="shared" si="0"/>
        <v>2035</v>
      </c>
    </row>
    <row r="7" spans="1:24">
      <c r="E7" s="52"/>
      <c r="K7" s="48">
        <f>I32</f>
        <v>555555.5555555555</v>
      </c>
      <c r="L7" s="48">
        <f>I44</f>
        <v>1111111.111111111</v>
      </c>
      <c r="M7" s="48">
        <f>I56</f>
        <v>1111111.111111111</v>
      </c>
      <c r="N7" s="48">
        <f>I68</f>
        <v>1111111.111111111</v>
      </c>
      <c r="O7" s="48">
        <f>I80</f>
        <v>1111111.111111111</v>
      </c>
      <c r="P7" s="48">
        <f>I92</f>
        <v>1111111.111111111</v>
      </c>
      <c r="Q7" s="48">
        <f>I104</f>
        <v>1111111.111111111</v>
      </c>
      <c r="R7" s="48">
        <f>I116</f>
        <v>1111111.111111111</v>
      </c>
      <c r="S7" s="48">
        <f>I128</f>
        <v>1111111.111111111</v>
      </c>
      <c r="T7" s="48">
        <f>I133</f>
        <v>555555.5555555555</v>
      </c>
      <c r="U7" s="48"/>
      <c r="V7" s="52"/>
      <c r="X7" s="52">
        <f>SUM(K7:W7)</f>
        <v>10000000</v>
      </c>
    </row>
    <row r="8" spans="1:24">
      <c r="B8" s="228" t="s">
        <v>75</v>
      </c>
      <c r="C8" s="228" t="s">
        <v>133</v>
      </c>
      <c r="D8" s="228" t="s">
        <v>29</v>
      </c>
      <c r="E8" s="228" t="s">
        <v>77</v>
      </c>
      <c r="F8" s="228" t="s">
        <v>13</v>
      </c>
      <c r="G8" s="228" t="s">
        <v>32</v>
      </c>
      <c r="J8" s="52"/>
      <c r="K8" s="48">
        <v>868902.78</v>
      </c>
      <c r="L8" s="48">
        <v>832665.42</v>
      </c>
      <c r="M8" s="48">
        <v>738170.6</v>
      </c>
      <c r="N8" s="48">
        <v>639575.93000000005</v>
      </c>
      <c r="O8" s="48">
        <v>543031.18000000005</v>
      </c>
      <c r="P8" s="48">
        <v>446486.42</v>
      </c>
      <c r="Q8" s="48">
        <v>350933.58</v>
      </c>
      <c r="R8" s="48">
        <v>253396.94</v>
      </c>
      <c r="S8" s="48">
        <v>156852.17000000001</v>
      </c>
      <c r="T8" s="48">
        <v>60307.41</v>
      </c>
      <c r="U8" s="48"/>
      <c r="V8" s="52"/>
      <c r="X8" s="52">
        <f>SUM(J8:W8)</f>
        <v>4890322.4300000006</v>
      </c>
    </row>
    <row r="9" spans="1:24">
      <c r="B9" s="229">
        <v>45688</v>
      </c>
      <c r="C9" s="64"/>
      <c r="D9" s="64">
        <v>0</v>
      </c>
      <c r="E9" s="60"/>
      <c r="F9" s="64"/>
      <c r="G9" s="63"/>
      <c r="J9" s="52"/>
    </row>
    <row r="10" spans="1:24">
      <c r="B10" s="229">
        <f t="shared" ref="B10:B73" si="1">EOMONTH(B9,1)</f>
        <v>45716</v>
      </c>
      <c r="C10" s="60"/>
      <c r="D10" s="64">
        <f t="shared" ref="D10:D19" si="2">D9+C10</f>
        <v>0</v>
      </c>
      <c r="E10" s="60"/>
      <c r="F10" s="64">
        <f t="shared" ref="F10:F20" si="3">(B10-B9)*$D$4*D9/360</f>
        <v>0</v>
      </c>
      <c r="G10" s="63">
        <f t="shared" ref="G10:G73" si="4">E10+F10</f>
        <v>0</v>
      </c>
    </row>
    <row r="11" spans="1:24">
      <c r="B11" s="229">
        <f t="shared" si="1"/>
        <v>45747</v>
      </c>
      <c r="C11" s="60"/>
      <c r="D11" s="64">
        <f t="shared" si="2"/>
        <v>0</v>
      </c>
      <c r="E11" s="60"/>
      <c r="F11" s="64">
        <f t="shared" si="3"/>
        <v>0</v>
      </c>
      <c r="G11" s="63">
        <f t="shared" si="4"/>
        <v>0</v>
      </c>
    </row>
    <row r="12" spans="1:24">
      <c r="B12" s="229">
        <f t="shared" si="1"/>
        <v>45777</v>
      </c>
      <c r="C12" s="64"/>
      <c r="D12" s="64">
        <f t="shared" si="2"/>
        <v>0</v>
      </c>
      <c r="E12" s="60"/>
      <c r="F12" s="64">
        <f t="shared" si="3"/>
        <v>0</v>
      </c>
      <c r="G12" s="63">
        <f t="shared" si="4"/>
        <v>0</v>
      </c>
    </row>
    <row r="13" spans="1:24">
      <c r="B13" s="229">
        <f t="shared" si="1"/>
        <v>45808</v>
      </c>
      <c r="C13" s="60"/>
      <c r="D13" s="64">
        <f t="shared" si="2"/>
        <v>0</v>
      </c>
      <c r="E13" s="60"/>
      <c r="F13" s="64"/>
      <c r="G13" s="63">
        <f t="shared" si="4"/>
        <v>0</v>
      </c>
    </row>
    <row r="14" spans="1:24">
      <c r="B14" s="229">
        <f t="shared" si="1"/>
        <v>45838</v>
      </c>
      <c r="C14" s="64"/>
      <c r="D14" s="64">
        <f t="shared" si="2"/>
        <v>0</v>
      </c>
      <c r="E14" s="60"/>
      <c r="F14" s="64">
        <f t="shared" si="3"/>
        <v>0</v>
      </c>
      <c r="G14" s="63">
        <f t="shared" si="4"/>
        <v>0</v>
      </c>
    </row>
    <row r="15" spans="1:24">
      <c r="B15" s="229">
        <f t="shared" si="1"/>
        <v>45869</v>
      </c>
      <c r="C15" s="60"/>
      <c r="D15" s="64">
        <f t="shared" si="2"/>
        <v>0</v>
      </c>
      <c r="E15" s="60"/>
      <c r="F15" s="64">
        <f t="shared" si="3"/>
        <v>0</v>
      </c>
      <c r="G15" s="63">
        <f t="shared" si="4"/>
        <v>0</v>
      </c>
    </row>
    <row r="16" spans="1:24">
      <c r="A16">
        <v>1</v>
      </c>
      <c r="B16" s="229">
        <f t="shared" si="1"/>
        <v>45900</v>
      </c>
      <c r="C16" s="63">
        <f>D3</f>
        <v>10000000</v>
      </c>
      <c r="D16" s="64">
        <f t="shared" si="2"/>
        <v>10000000</v>
      </c>
      <c r="E16" s="60"/>
      <c r="F16" s="64">
        <f t="shared" si="3"/>
        <v>0</v>
      </c>
      <c r="G16" s="63">
        <f t="shared" si="4"/>
        <v>0</v>
      </c>
    </row>
    <row r="17" spans="1:12">
      <c r="A17">
        <f>A16+1</f>
        <v>2</v>
      </c>
      <c r="B17" s="229">
        <f t="shared" si="1"/>
        <v>45930</v>
      </c>
      <c r="C17" s="64"/>
      <c r="D17" s="64">
        <f t="shared" si="2"/>
        <v>10000000</v>
      </c>
      <c r="E17" s="60"/>
      <c r="F17" s="64">
        <f t="shared" si="3"/>
        <v>71416.666666666657</v>
      </c>
      <c r="G17" s="63">
        <f t="shared" si="4"/>
        <v>71416.666666666657</v>
      </c>
    </row>
    <row r="18" spans="1:12">
      <c r="A18">
        <f t="shared" ref="A18:A81" si="5">A17+1</f>
        <v>3</v>
      </c>
      <c r="B18" s="229">
        <f t="shared" si="1"/>
        <v>45961</v>
      </c>
      <c r="C18" s="64"/>
      <c r="D18" s="64">
        <f t="shared" si="2"/>
        <v>10000000</v>
      </c>
      <c r="E18" s="60"/>
      <c r="F18" s="64">
        <f t="shared" si="3"/>
        <v>73797.222222222219</v>
      </c>
      <c r="G18" s="63">
        <f t="shared" si="4"/>
        <v>73797.222222222219</v>
      </c>
    </row>
    <row r="19" spans="1:12">
      <c r="A19">
        <f t="shared" si="5"/>
        <v>4</v>
      </c>
      <c r="B19" s="229">
        <f t="shared" si="1"/>
        <v>45991</v>
      </c>
      <c r="C19" s="63"/>
      <c r="D19" s="64">
        <f t="shared" si="2"/>
        <v>10000000</v>
      </c>
      <c r="E19" s="60"/>
      <c r="F19" s="64">
        <f t="shared" si="3"/>
        <v>71416.666666666657</v>
      </c>
      <c r="G19" s="63">
        <f t="shared" si="4"/>
        <v>71416.666666666657</v>
      </c>
    </row>
    <row r="20" spans="1:12" s="230" customFormat="1">
      <c r="A20">
        <f t="shared" si="5"/>
        <v>5</v>
      </c>
      <c r="B20" s="231">
        <f t="shared" si="1"/>
        <v>46022</v>
      </c>
      <c r="C20" s="232">
        <v>0</v>
      </c>
      <c r="D20" s="233">
        <f>D19+C20</f>
        <v>10000000</v>
      </c>
      <c r="E20" s="234"/>
      <c r="F20" s="233">
        <f t="shared" si="3"/>
        <v>73797.222222222219</v>
      </c>
      <c r="G20" s="232">
        <f t="shared" si="4"/>
        <v>73797.222222222219</v>
      </c>
      <c r="I20" s="230">
        <f>SUM(E9:E20)</f>
        <v>0</v>
      </c>
      <c r="J20" s="238">
        <f>SUM(F9:F20)</f>
        <v>290427.77777777775</v>
      </c>
    </row>
    <row r="21" spans="1:12">
      <c r="A21">
        <f t="shared" si="5"/>
        <v>6</v>
      </c>
      <c r="B21" s="229">
        <f t="shared" si="1"/>
        <v>46053</v>
      </c>
      <c r="C21" s="60"/>
      <c r="D21" s="64">
        <f t="shared" ref="D21:D29" si="6">D20+C21</f>
        <v>10000000</v>
      </c>
      <c r="E21" s="63"/>
      <c r="F21" s="64">
        <f>(B21-B20)*$D$4*D20/360</f>
        <v>73797.222222222219</v>
      </c>
      <c r="G21" s="63">
        <f t="shared" si="4"/>
        <v>73797.222222222219</v>
      </c>
    </row>
    <row r="22" spans="1:12">
      <c r="A22">
        <f t="shared" si="5"/>
        <v>7</v>
      </c>
      <c r="B22" s="229">
        <f t="shared" si="1"/>
        <v>46081</v>
      </c>
      <c r="C22" s="60"/>
      <c r="D22" s="64">
        <f t="shared" si="6"/>
        <v>10000000</v>
      </c>
      <c r="E22" s="64"/>
      <c r="F22" s="64">
        <f>(B22-B21)*$D$4*D21/360</f>
        <v>66655.555555555562</v>
      </c>
      <c r="G22" s="63">
        <f t="shared" si="4"/>
        <v>66655.555555555562</v>
      </c>
    </row>
    <row r="23" spans="1:12">
      <c r="A23">
        <f t="shared" si="5"/>
        <v>8</v>
      </c>
      <c r="B23" s="229">
        <f t="shared" si="1"/>
        <v>46112</v>
      </c>
      <c r="C23" s="63"/>
      <c r="D23" s="64">
        <f t="shared" si="6"/>
        <v>10000000</v>
      </c>
      <c r="E23" s="63"/>
      <c r="F23" s="64">
        <f t="shared" ref="F23:F86" si="7">(B23-B22)*$D$4*D22/360</f>
        <v>73797.222222222219</v>
      </c>
      <c r="G23" s="63">
        <f t="shared" si="4"/>
        <v>73797.222222222219</v>
      </c>
    </row>
    <row r="24" spans="1:12">
      <c r="A24">
        <f t="shared" si="5"/>
        <v>9</v>
      </c>
      <c r="B24" s="229">
        <f t="shared" si="1"/>
        <v>46142</v>
      </c>
      <c r="C24" s="60"/>
      <c r="D24" s="64">
        <f t="shared" si="6"/>
        <v>10000000</v>
      </c>
      <c r="E24" s="63"/>
      <c r="F24" s="64">
        <f t="shared" si="7"/>
        <v>71416.666666666657</v>
      </c>
      <c r="G24" s="63">
        <f t="shared" si="4"/>
        <v>71416.666666666657</v>
      </c>
    </row>
    <row r="25" spans="1:12">
      <c r="A25">
        <f t="shared" si="5"/>
        <v>10</v>
      </c>
      <c r="B25" s="229">
        <f t="shared" si="1"/>
        <v>46173</v>
      </c>
      <c r="C25" s="60"/>
      <c r="D25" s="64">
        <f t="shared" si="6"/>
        <v>10000000</v>
      </c>
      <c r="E25" s="63"/>
      <c r="F25" s="64">
        <f t="shared" si="7"/>
        <v>73797.222222222219</v>
      </c>
      <c r="G25" s="63">
        <f t="shared" si="4"/>
        <v>73797.222222222219</v>
      </c>
    </row>
    <row r="26" spans="1:12">
      <c r="A26">
        <f t="shared" si="5"/>
        <v>11</v>
      </c>
      <c r="B26" s="229">
        <f t="shared" si="1"/>
        <v>46203</v>
      </c>
      <c r="C26" s="64">
        <v>0</v>
      </c>
      <c r="D26" s="64">
        <f t="shared" si="6"/>
        <v>10000000</v>
      </c>
      <c r="E26" s="63"/>
      <c r="F26" s="64">
        <f t="shared" si="7"/>
        <v>71416.666666666657</v>
      </c>
      <c r="G26" s="63">
        <f t="shared" si="4"/>
        <v>71416.666666666657</v>
      </c>
    </row>
    <row r="27" spans="1:12">
      <c r="A27">
        <f t="shared" si="5"/>
        <v>12</v>
      </c>
      <c r="B27" s="229">
        <f t="shared" si="1"/>
        <v>46234</v>
      </c>
      <c r="C27" s="60"/>
      <c r="D27" s="64">
        <f t="shared" si="6"/>
        <v>10000000</v>
      </c>
      <c r="E27" s="63"/>
      <c r="F27" s="64">
        <f t="shared" si="7"/>
        <v>73797.222222222219</v>
      </c>
      <c r="G27" s="63">
        <f t="shared" si="4"/>
        <v>73797.222222222219</v>
      </c>
    </row>
    <row r="28" spans="1:12">
      <c r="A28">
        <f t="shared" si="5"/>
        <v>13</v>
      </c>
      <c r="B28" s="229">
        <f t="shared" si="1"/>
        <v>46265</v>
      </c>
      <c r="C28" s="63"/>
      <c r="D28" s="64">
        <f>D27+C28-E28</f>
        <v>9722222.222222222</v>
      </c>
      <c r="E28" s="63">
        <f>D3/36</f>
        <v>277777.77777777775</v>
      </c>
      <c r="F28" s="64">
        <f>(B28-B27)*$D$4*D27/360</f>
        <v>73797.222222222219</v>
      </c>
      <c r="G28" s="63">
        <f t="shared" si="4"/>
        <v>351575</v>
      </c>
      <c r="H28">
        <v>1</v>
      </c>
      <c r="K28">
        <f>108/3</f>
        <v>36</v>
      </c>
      <c r="L28" s="52">
        <f>K28*E28</f>
        <v>10000000</v>
      </c>
    </row>
    <row r="29" spans="1:12" s="246" customFormat="1">
      <c r="A29">
        <f t="shared" si="5"/>
        <v>14</v>
      </c>
      <c r="B29" s="247">
        <f t="shared" si="1"/>
        <v>46295</v>
      </c>
      <c r="C29" s="249"/>
      <c r="D29" s="248">
        <f t="shared" si="6"/>
        <v>9722222.222222222</v>
      </c>
      <c r="E29" s="249"/>
      <c r="F29" s="248">
        <f>(B29-B28)*$D$4*D28/360</f>
        <v>69432.87037037035</v>
      </c>
      <c r="G29" s="249">
        <f t="shared" si="4"/>
        <v>69432.87037037035</v>
      </c>
      <c r="K29" s="246">
        <f>K28*4</f>
        <v>144</v>
      </c>
    </row>
    <row r="30" spans="1:12" s="250" customFormat="1">
      <c r="A30">
        <f t="shared" si="5"/>
        <v>15</v>
      </c>
      <c r="B30" s="251">
        <f t="shared" si="1"/>
        <v>46326</v>
      </c>
      <c r="C30" s="252"/>
      <c r="D30" s="253">
        <f t="shared" ref="D30:D93" si="8">D29-E29</f>
        <v>9722222.222222222</v>
      </c>
      <c r="E30" s="254"/>
      <c r="F30" s="253">
        <f t="shared" si="7"/>
        <v>71747.299382716039</v>
      </c>
      <c r="G30" s="254">
        <f t="shared" si="4"/>
        <v>71747.299382716039</v>
      </c>
      <c r="H30" s="246"/>
    </row>
    <row r="31" spans="1:12">
      <c r="A31">
        <f t="shared" si="5"/>
        <v>16</v>
      </c>
      <c r="B31" s="229">
        <f t="shared" si="1"/>
        <v>46356</v>
      </c>
      <c r="C31" s="60"/>
      <c r="D31" s="64">
        <f>D30-E30</f>
        <v>9722222.222222222</v>
      </c>
      <c r="E31" s="63">
        <f>E28</f>
        <v>277777.77777777775</v>
      </c>
      <c r="F31" s="64">
        <f t="shared" si="7"/>
        <v>69432.87037037035</v>
      </c>
      <c r="G31" s="63">
        <f t="shared" si="4"/>
        <v>347210.64814814809</v>
      </c>
      <c r="H31" s="246">
        <v>2</v>
      </c>
    </row>
    <row r="32" spans="1:12" s="230" customFormat="1">
      <c r="A32">
        <f t="shared" si="5"/>
        <v>17</v>
      </c>
      <c r="B32" s="231">
        <f t="shared" si="1"/>
        <v>46387</v>
      </c>
      <c r="C32" s="234"/>
      <c r="D32" s="233">
        <f>D31-E31</f>
        <v>9444444.444444444</v>
      </c>
      <c r="E32" s="232"/>
      <c r="F32" s="233">
        <f t="shared" si="7"/>
        <v>71747.299382716039</v>
      </c>
      <c r="G32" s="232">
        <f t="shared" si="4"/>
        <v>71747.299382716039</v>
      </c>
      <c r="H32" s="246"/>
      <c r="I32" s="53">
        <f>SUM(E21:E32)</f>
        <v>555555.5555555555</v>
      </c>
      <c r="J32" s="53">
        <f>SUM(F21:F32)</f>
        <v>860835.33950617281</v>
      </c>
    </row>
    <row r="33" spans="1:10">
      <c r="A33">
        <f t="shared" si="5"/>
        <v>18</v>
      </c>
      <c r="B33" s="229">
        <f t="shared" si="1"/>
        <v>46418</v>
      </c>
      <c r="C33" s="60"/>
      <c r="D33" s="64">
        <f t="shared" si="8"/>
        <v>9444444.444444444</v>
      </c>
      <c r="E33" s="63"/>
      <c r="F33" s="64">
        <f t="shared" si="7"/>
        <v>69697.376543209873</v>
      </c>
      <c r="G33" s="63">
        <f t="shared" si="4"/>
        <v>69697.376543209873</v>
      </c>
      <c r="H33" s="246"/>
      <c r="I33" s="48"/>
      <c r="J33" s="48"/>
    </row>
    <row r="34" spans="1:10">
      <c r="A34">
        <f t="shared" si="5"/>
        <v>19</v>
      </c>
      <c r="B34" s="229">
        <f t="shared" si="1"/>
        <v>46446</v>
      </c>
      <c r="C34" s="60"/>
      <c r="D34" s="64">
        <f t="shared" si="8"/>
        <v>9444444.444444444</v>
      </c>
      <c r="E34" s="63">
        <f>E31</f>
        <v>277777.77777777775</v>
      </c>
      <c r="F34" s="64">
        <f t="shared" si="7"/>
        <v>62952.469135802465</v>
      </c>
      <c r="G34" s="63">
        <f t="shared" si="4"/>
        <v>340730.24691358022</v>
      </c>
      <c r="H34" s="246">
        <v>3</v>
      </c>
      <c r="I34" s="48"/>
      <c r="J34" s="48"/>
    </row>
    <row r="35" spans="1:10">
      <c r="A35">
        <f t="shared" si="5"/>
        <v>20</v>
      </c>
      <c r="B35" s="229">
        <f t="shared" si="1"/>
        <v>46477</v>
      </c>
      <c r="C35" s="60"/>
      <c r="D35" s="64">
        <f t="shared" si="8"/>
        <v>9166666.666666666</v>
      </c>
      <c r="E35" s="63"/>
      <c r="F35" s="64">
        <f t="shared" si="7"/>
        <v>69697.376543209873</v>
      </c>
      <c r="G35" s="63">
        <f t="shared" si="4"/>
        <v>69697.376543209873</v>
      </c>
      <c r="H35" s="246"/>
      <c r="I35" s="48"/>
      <c r="J35" s="48"/>
    </row>
    <row r="36" spans="1:10">
      <c r="A36">
        <f t="shared" si="5"/>
        <v>21</v>
      </c>
      <c r="B36" s="229">
        <f t="shared" si="1"/>
        <v>46507</v>
      </c>
      <c r="C36" s="60"/>
      <c r="D36" s="64">
        <f t="shared" si="8"/>
        <v>9166666.666666666</v>
      </c>
      <c r="E36" s="63"/>
      <c r="F36" s="64">
        <f t="shared" si="7"/>
        <v>65465.277777777766</v>
      </c>
      <c r="G36" s="63">
        <f t="shared" si="4"/>
        <v>65465.277777777766</v>
      </c>
      <c r="H36" s="246"/>
      <c r="I36" s="48"/>
      <c r="J36" s="48"/>
    </row>
    <row r="37" spans="1:10">
      <c r="A37">
        <f t="shared" si="5"/>
        <v>22</v>
      </c>
      <c r="B37" s="229">
        <f t="shared" si="1"/>
        <v>46538</v>
      </c>
      <c r="C37" s="60"/>
      <c r="D37" s="64">
        <f t="shared" si="8"/>
        <v>9166666.666666666</v>
      </c>
      <c r="E37" s="63">
        <f>E34</f>
        <v>277777.77777777775</v>
      </c>
      <c r="F37" s="64">
        <f t="shared" si="7"/>
        <v>67647.453703703693</v>
      </c>
      <c r="G37" s="63">
        <f t="shared" si="4"/>
        <v>345425.23148148146</v>
      </c>
      <c r="H37" s="246">
        <v>4</v>
      </c>
      <c r="I37" s="48"/>
      <c r="J37" s="48"/>
    </row>
    <row r="38" spans="1:10">
      <c r="A38">
        <f t="shared" si="5"/>
        <v>23</v>
      </c>
      <c r="B38" s="229">
        <f t="shared" si="1"/>
        <v>46568</v>
      </c>
      <c r="C38" s="60"/>
      <c r="D38" s="64">
        <f t="shared" si="8"/>
        <v>8888888.8888888881</v>
      </c>
      <c r="E38" s="63"/>
      <c r="F38" s="64">
        <f t="shared" si="7"/>
        <v>65465.277777777766</v>
      </c>
      <c r="G38" s="63">
        <f t="shared" si="4"/>
        <v>65465.277777777766</v>
      </c>
      <c r="H38" s="246"/>
      <c r="I38" s="48"/>
      <c r="J38" s="48"/>
    </row>
    <row r="39" spans="1:10">
      <c r="A39">
        <f t="shared" si="5"/>
        <v>24</v>
      </c>
      <c r="B39" s="229">
        <f t="shared" si="1"/>
        <v>46599</v>
      </c>
      <c r="C39" s="60"/>
      <c r="D39" s="64">
        <f t="shared" si="8"/>
        <v>8888888.8888888881</v>
      </c>
      <c r="E39" s="63"/>
      <c r="F39" s="64">
        <f t="shared" si="7"/>
        <v>65597.530864197528</v>
      </c>
      <c r="G39" s="63">
        <f t="shared" si="4"/>
        <v>65597.530864197528</v>
      </c>
      <c r="H39" s="246"/>
      <c r="I39" s="48"/>
      <c r="J39" s="48"/>
    </row>
    <row r="40" spans="1:10">
      <c r="A40">
        <f t="shared" si="5"/>
        <v>25</v>
      </c>
      <c r="B40" s="229">
        <f t="shared" si="1"/>
        <v>46630</v>
      </c>
      <c r="C40" s="60"/>
      <c r="D40" s="64">
        <f t="shared" si="8"/>
        <v>8888888.8888888881</v>
      </c>
      <c r="E40" s="63">
        <f>E37</f>
        <v>277777.77777777775</v>
      </c>
      <c r="F40" s="64">
        <f t="shared" si="7"/>
        <v>65597.530864197528</v>
      </c>
      <c r="G40" s="63">
        <f t="shared" si="4"/>
        <v>343375.30864197528</v>
      </c>
      <c r="H40" s="246">
        <v>5</v>
      </c>
      <c r="I40" s="48"/>
      <c r="J40" s="48"/>
    </row>
    <row r="41" spans="1:10">
      <c r="A41">
        <f t="shared" si="5"/>
        <v>26</v>
      </c>
      <c r="B41" s="229">
        <f t="shared" si="1"/>
        <v>46660</v>
      </c>
      <c r="C41" s="60"/>
      <c r="D41" s="64">
        <f t="shared" si="8"/>
        <v>8611111.1111111101</v>
      </c>
      <c r="E41" s="63"/>
      <c r="F41" s="64">
        <f t="shared" si="7"/>
        <v>63481.481481481467</v>
      </c>
      <c r="G41" s="63">
        <f t="shared" si="4"/>
        <v>63481.481481481467</v>
      </c>
      <c r="H41" s="246"/>
      <c r="I41" s="48"/>
      <c r="J41" s="48"/>
    </row>
    <row r="42" spans="1:10">
      <c r="A42">
        <f t="shared" si="5"/>
        <v>27</v>
      </c>
      <c r="B42" s="229">
        <f t="shared" si="1"/>
        <v>46691</v>
      </c>
      <c r="C42" s="60"/>
      <c r="D42" s="64">
        <f t="shared" si="8"/>
        <v>8611111.1111111101</v>
      </c>
      <c r="E42" s="63"/>
      <c r="F42" s="64">
        <f t="shared" si="7"/>
        <v>63547.608024691348</v>
      </c>
      <c r="G42" s="63">
        <f t="shared" si="4"/>
        <v>63547.608024691348</v>
      </c>
      <c r="H42" s="246"/>
      <c r="I42" s="48"/>
      <c r="J42" s="48"/>
    </row>
    <row r="43" spans="1:10">
      <c r="A43">
        <f t="shared" si="5"/>
        <v>28</v>
      </c>
      <c r="B43" s="229">
        <f t="shared" si="1"/>
        <v>46721</v>
      </c>
      <c r="C43" s="60"/>
      <c r="D43" s="64">
        <f t="shared" si="8"/>
        <v>8611111.1111111101</v>
      </c>
      <c r="E43" s="63">
        <f>E40</f>
        <v>277777.77777777775</v>
      </c>
      <c r="F43" s="64">
        <f t="shared" si="7"/>
        <v>61497.685185185168</v>
      </c>
      <c r="G43" s="63">
        <f t="shared" si="4"/>
        <v>339275.46296296292</v>
      </c>
      <c r="H43" s="246">
        <v>6</v>
      </c>
      <c r="I43" s="48"/>
      <c r="J43" s="48"/>
    </row>
    <row r="44" spans="1:10" s="230" customFormat="1">
      <c r="A44">
        <f t="shared" si="5"/>
        <v>29</v>
      </c>
      <c r="B44" s="231">
        <f t="shared" si="1"/>
        <v>46752</v>
      </c>
      <c r="C44" s="234"/>
      <c r="D44" s="233">
        <f t="shared" si="8"/>
        <v>8333333.3333333321</v>
      </c>
      <c r="E44" s="232"/>
      <c r="F44" s="233">
        <f t="shared" si="7"/>
        <v>63547.608024691348</v>
      </c>
      <c r="G44" s="232">
        <f t="shared" si="4"/>
        <v>63547.608024691348</v>
      </c>
      <c r="H44" s="246"/>
      <c r="I44" s="53">
        <f>SUM(E33:E44)</f>
        <v>1111111.111111111</v>
      </c>
      <c r="J44" s="53">
        <f>SUM(F33:F44)</f>
        <v>784194.67592592572</v>
      </c>
    </row>
    <row r="45" spans="1:10">
      <c r="A45">
        <f t="shared" si="5"/>
        <v>30</v>
      </c>
      <c r="B45" s="229">
        <f t="shared" si="1"/>
        <v>46783</v>
      </c>
      <c r="C45" s="60"/>
      <c r="D45" s="64">
        <f t="shared" si="8"/>
        <v>8333333.3333333321</v>
      </c>
      <c r="E45" s="63"/>
      <c r="F45" s="64">
        <f t="shared" si="7"/>
        <v>61497.685185185168</v>
      </c>
      <c r="G45" s="63">
        <f t="shared" si="4"/>
        <v>61497.685185185168</v>
      </c>
      <c r="H45" s="246"/>
      <c r="I45" s="48"/>
      <c r="J45" s="48"/>
    </row>
    <row r="46" spans="1:10">
      <c r="A46">
        <f t="shared" si="5"/>
        <v>31</v>
      </c>
      <c r="B46" s="229">
        <f t="shared" si="1"/>
        <v>46812</v>
      </c>
      <c r="C46" s="60"/>
      <c r="D46" s="64">
        <f t="shared" si="8"/>
        <v>8333333.3333333321</v>
      </c>
      <c r="E46" s="63">
        <f>E43</f>
        <v>277777.77777777775</v>
      </c>
      <c r="F46" s="64">
        <f t="shared" si="7"/>
        <v>57530.092592592591</v>
      </c>
      <c r="G46" s="63">
        <f t="shared" si="4"/>
        <v>335307.87037037034</v>
      </c>
      <c r="H46" s="246">
        <v>7</v>
      </c>
      <c r="I46" s="48"/>
      <c r="J46" s="48"/>
    </row>
    <row r="47" spans="1:10">
      <c r="A47">
        <f t="shared" si="5"/>
        <v>32</v>
      </c>
      <c r="B47" s="229">
        <f t="shared" si="1"/>
        <v>46843</v>
      </c>
      <c r="C47" s="60"/>
      <c r="D47" s="64">
        <f t="shared" si="8"/>
        <v>8055555.5555555541</v>
      </c>
      <c r="E47" s="63"/>
      <c r="F47" s="64">
        <f t="shared" si="7"/>
        <v>61497.685185185168</v>
      </c>
      <c r="G47" s="63">
        <f t="shared" si="4"/>
        <v>61497.685185185168</v>
      </c>
      <c r="H47" s="246"/>
      <c r="I47" s="48"/>
      <c r="J47" s="48"/>
    </row>
    <row r="48" spans="1:10">
      <c r="A48">
        <f t="shared" si="5"/>
        <v>33</v>
      </c>
      <c r="B48" s="229">
        <f t="shared" si="1"/>
        <v>46873</v>
      </c>
      <c r="C48" s="60"/>
      <c r="D48" s="64">
        <f t="shared" si="8"/>
        <v>8055555.5555555541</v>
      </c>
      <c r="E48" s="63"/>
      <c r="F48" s="64">
        <f t="shared" si="7"/>
        <v>57530.092592592577</v>
      </c>
      <c r="G48" s="63">
        <f t="shared" si="4"/>
        <v>57530.092592592577</v>
      </c>
      <c r="H48" s="246"/>
      <c r="I48" s="48"/>
      <c r="J48" s="48"/>
    </row>
    <row r="49" spans="1:10">
      <c r="A49">
        <f t="shared" si="5"/>
        <v>34</v>
      </c>
      <c r="B49" s="229">
        <f t="shared" si="1"/>
        <v>46904</v>
      </c>
      <c r="C49" s="60"/>
      <c r="D49" s="64">
        <f t="shared" si="8"/>
        <v>8055555.5555555541</v>
      </c>
      <c r="E49" s="63">
        <f>E46</f>
        <v>277777.77777777775</v>
      </c>
      <c r="F49" s="64">
        <f t="shared" si="7"/>
        <v>59447.762345679002</v>
      </c>
      <c r="G49" s="63">
        <f t="shared" si="4"/>
        <v>337225.54012345674</v>
      </c>
      <c r="H49" s="246">
        <v>8</v>
      </c>
      <c r="I49" s="48"/>
      <c r="J49" s="48"/>
    </row>
    <row r="50" spans="1:10">
      <c r="A50">
        <f t="shared" si="5"/>
        <v>35</v>
      </c>
      <c r="B50" s="229">
        <f t="shared" si="1"/>
        <v>46934</v>
      </c>
      <c r="C50" s="60"/>
      <c r="D50" s="64">
        <f t="shared" si="8"/>
        <v>7777777.7777777761</v>
      </c>
      <c r="E50" s="63"/>
      <c r="F50" s="64">
        <f t="shared" si="7"/>
        <v>57530.092592592577</v>
      </c>
      <c r="G50" s="63">
        <f t="shared" si="4"/>
        <v>57530.092592592577</v>
      </c>
      <c r="H50" s="246"/>
      <c r="I50" s="48"/>
      <c r="J50" s="48"/>
    </row>
    <row r="51" spans="1:10">
      <c r="A51">
        <f t="shared" si="5"/>
        <v>36</v>
      </c>
      <c r="B51" s="229">
        <f t="shared" si="1"/>
        <v>46965</v>
      </c>
      <c r="C51" s="60"/>
      <c r="D51" s="64">
        <f t="shared" si="8"/>
        <v>7777777.7777777761</v>
      </c>
      <c r="E51" s="63"/>
      <c r="F51" s="64">
        <f t="shared" si="7"/>
        <v>57397.839506172822</v>
      </c>
      <c r="G51" s="63">
        <f t="shared" si="4"/>
        <v>57397.839506172822</v>
      </c>
      <c r="H51" s="246"/>
      <c r="I51" s="48"/>
      <c r="J51" s="48"/>
    </row>
    <row r="52" spans="1:10">
      <c r="A52">
        <f t="shared" si="5"/>
        <v>37</v>
      </c>
      <c r="B52" s="229">
        <f t="shared" si="1"/>
        <v>46996</v>
      </c>
      <c r="C52" s="60"/>
      <c r="D52" s="64">
        <f t="shared" si="8"/>
        <v>7777777.7777777761</v>
      </c>
      <c r="E52" s="63">
        <f>E49</f>
        <v>277777.77777777775</v>
      </c>
      <c r="F52" s="64">
        <f t="shared" si="7"/>
        <v>57397.839506172822</v>
      </c>
      <c r="G52" s="63">
        <f t="shared" si="4"/>
        <v>335175.61728395056</v>
      </c>
      <c r="H52" s="246">
        <v>8</v>
      </c>
      <c r="I52" s="48"/>
      <c r="J52" s="48"/>
    </row>
    <row r="53" spans="1:10">
      <c r="A53">
        <f t="shared" si="5"/>
        <v>38</v>
      </c>
      <c r="B53" s="229">
        <f t="shared" si="1"/>
        <v>47026</v>
      </c>
      <c r="C53" s="60"/>
      <c r="D53" s="64">
        <f t="shared" si="8"/>
        <v>7499999.9999999981</v>
      </c>
      <c r="E53" s="63"/>
      <c r="F53" s="64">
        <f t="shared" si="7"/>
        <v>55546.296296296277</v>
      </c>
      <c r="G53" s="63">
        <f t="shared" si="4"/>
        <v>55546.296296296277</v>
      </c>
      <c r="H53" s="246"/>
      <c r="I53" s="48"/>
      <c r="J53" s="48"/>
    </row>
    <row r="54" spans="1:10">
      <c r="A54">
        <f t="shared" si="5"/>
        <v>39</v>
      </c>
      <c r="B54" s="229">
        <f t="shared" si="1"/>
        <v>47057</v>
      </c>
      <c r="C54" s="60"/>
      <c r="D54" s="64">
        <f t="shared" si="8"/>
        <v>7499999.9999999981</v>
      </c>
      <c r="E54" s="63"/>
      <c r="F54" s="64">
        <f t="shared" si="7"/>
        <v>55347.916666666642</v>
      </c>
      <c r="G54" s="63">
        <f t="shared" si="4"/>
        <v>55347.916666666642</v>
      </c>
      <c r="H54" s="246"/>
      <c r="I54" s="48"/>
      <c r="J54" s="48"/>
    </row>
    <row r="55" spans="1:10">
      <c r="A55">
        <f t="shared" si="5"/>
        <v>40</v>
      </c>
      <c r="B55" s="229">
        <f t="shared" si="1"/>
        <v>47087</v>
      </c>
      <c r="C55" s="60"/>
      <c r="D55" s="64">
        <f t="shared" si="8"/>
        <v>7499999.9999999981</v>
      </c>
      <c r="E55" s="63">
        <f>E52</f>
        <v>277777.77777777775</v>
      </c>
      <c r="F55" s="64">
        <f t="shared" si="7"/>
        <v>53562.499999999978</v>
      </c>
      <c r="G55" s="63">
        <f t="shared" si="4"/>
        <v>331340.27777777775</v>
      </c>
      <c r="H55" s="246">
        <v>9</v>
      </c>
      <c r="I55" s="48"/>
      <c r="J55" s="48"/>
    </row>
    <row r="56" spans="1:10" s="230" customFormat="1">
      <c r="A56">
        <f t="shared" si="5"/>
        <v>41</v>
      </c>
      <c r="B56" s="231">
        <f t="shared" si="1"/>
        <v>47118</v>
      </c>
      <c r="C56" s="234"/>
      <c r="D56" s="233">
        <f t="shared" si="8"/>
        <v>7222222.2222222202</v>
      </c>
      <c r="E56" s="232"/>
      <c r="F56" s="233">
        <f t="shared" si="7"/>
        <v>55347.916666666642</v>
      </c>
      <c r="G56" s="232">
        <f t="shared" si="4"/>
        <v>55347.916666666642</v>
      </c>
      <c r="H56" s="246"/>
      <c r="I56" s="53">
        <f>SUM(E45:E56)</f>
        <v>1111111.111111111</v>
      </c>
      <c r="J56" s="53">
        <f>SUM(F45:F56)</f>
        <v>689633.71913580224</v>
      </c>
    </row>
    <row r="57" spans="1:10">
      <c r="A57">
        <f t="shared" si="5"/>
        <v>42</v>
      </c>
      <c r="B57" s="229">
        <f t="shared" si="1"/>
        <v>47149</v>
      </c>
      <c r="C57" s="60"/>
      <c r="D57" s="64">
        <f t="shared" si="8"/>
        <v>7222222.2222222202</v>
      </c>
      <c r="E57" s="63"/>
      <c r="F57" s="64">
        <f t="shared" si="7"/>
        <v>53297.993827160477</v>
      </c>
      <c r="G57" s="63">
        <f t="shared" si="4"/>
        <v>53297.993827160477</v>
      </c>
      <c r="H57" s="246"/>
      <c r="I57" s="48"/>
      <c r="J57" s="48"/>
    </row>
    <row r="58" spans="1:10">
      <c r="A58">
        <f t="shared" si="5"/>
        <v>43</v>
      </c>
      <c r="B58" s="229">
        <f t="shared" si="1"/>
        <v>47177</v>
      </c>
      <c r="C58" s="60"/>
      <c r="D58" s="64">
        <f t="shared" si="8"/>
        <v>7222222.2222222202</v>
      </c>
      <c r="E58" s="63">
        <f>E55</f>
        <v>277777.77777777775</v>
      </c>
      <c r="F58" s="64">
        <f t="shared" si="7"/>
        <v>48140.123456790112</v>
      </c>
      <c r="G58" s="63">
        <f t="shared" si="4"/>
        <v>325917.90123456786</v>
      </c>
      <c r="H58" s="246">
        <v>10</v>
      </c>
      <c r="I58" s="48"/>
      <c r="J58" s="48"/>
    </row>
    <row r="59" spans="1:10">
      <c r="A59">
        <f t="shared" si="5"/>
        <v>44</v>
      </c>
      <c r="B59" s="229">
        <f t="shared" si="1"/>
        <v>47208</v>
      </c>
      <c r="C59" s="60"/>
      <c r="D59" s="64">
        <f t="shared" si="8"/>
        <v>6944444.4444444422</v>
      </c>
      <c r="E59" s="63"/>
      <c r="F59" s="64">
        <f t="shared" si="7"/>
        <v>53297.993827160477</v>
      </c>
      <c r="G59" s="63">
        <f t="shared" si="4"/>
        <v>53297.993827160477</v>
      </c>
      <c r="H59" s="246"/>
      <c r="I59" s="48"/>
      <c r="J59" s="48"/>
    </row>
    <row r="60" spans="1:10">
      <c r="A60">
        <f t="shared" si="5"/>
        <v>45</v>
      </c>
      <c r="B60" s="229">
        <f t="shared" si="1"/>
        <v>47238</v>
      </c>
      <c r="C60" s="60"/>
      <c r="D60" s="64">
        <f t="shared" si="8"/>
        <v>6944444.4444444422</v>
      </c>
      <c r="E60" s="63"/>
      <c r="F60" s="64">
        <f t="shared" si="7"/>
        <v>49594.907407407387</v>
      </c>
      <c r="G60" s="63">
        <f t="shared" si="4"/>
        <v>49594.907407407387</v>
      </c>
      <c r="H60" s="246"/>
      <c r="I60" s="48"/>
      <c r="J60" s="48"/>
    </row>
    <row r="61" spans="1:10">
      <c r="A61">
        <f t="shared" si="5"/>
        <v>46</v>
      </c>
      <c r="B61" s="229">
        <f t="shared" si="1"/>
        <v>47269</v>
      </c>
      <c r="C61" s="60"/>
      <c r="D61" s="64">
        <f t="shared" si="8"/>
        <v>6944444.4444444422</v>
      </c>
      <c r="E61" s="63">
        <f>E58</f>
        <v>277777.77777777775</v>
      </c>
      <c r="F61" s="64">
        <f t="shared" si="7"/>
        <v>51248.070987654304</v>
      </c>
      <c r="G61" s="63">
        <f t="shared" si="4"/>
        <v>329025.84876543208</v>
      </c>
      <c r="H61" s="246">
        <v>11</v>
      </c>
      <c r="I61" s="48"/>
      <c r="J61" s="48"/>
    </row>
    <row r="62" spans="1:10">
      <c r="A62">
        <f t="shared" si="5"/>
        <v>47</v>
      </c>
      <c r="B62" s="229">
        <f t="shared" si="1"/>
        <v>47299</v>
      </c>
      <c r="C62" s="60"/>
      <c r="D62" s="64">
        <f t="shared" si="8"/>
        <v>6666666.6666666642</v>
      </c>
      <c r="E62" s="63"/>
      <c r="F62" s="64">
        <f t="shared" si="7"/>
        <v>49594.907407407387</v>
      </c>
      <c r="G62" s="63">
        <f t="shared" si="4"/>
        <v>49594.907407407387</v>
      </c>
      <c r="H62" s="246"/>
      <c r="I62" s="48"/>
      <c r="J62" s="48"/>
    </row>
    <row r="63" spans="1:10">
      <c r="A63">
        <f t="shared" si="5"/>
        <v>48</v>
      </c>
      <c r="B63" s="229">
        <f t="shared" si="1"/>
        <v>47330</v>
      </c>
      <c r="C63" s="60"/>
      <c r="D63" s="64">
        <f t="shared" si="8"/>
        <v>6666666.6666666642</v>
      </c>
      <c r="E63" s="63"/>
      <c r="F63" s="64">
        <f t="shared" si="7"/>
        <v>49198.148148148124</v>
      </c>
      <c r="G63" s="63">
        <f t="shared" si="4"/>
        <v>49198.148148148124</v>
      </c>
      <c r="H63" s="246"/>
      <c r="I63" s="48"/>
      <c r="J63" s="48"/>
    </row>
    <row r="64" spans="1:10">
      <c r="A64">
        <f t="shared" si="5"/>
        <v>49</v>
      </c>
      <c r="B64" s="229">
        <f t="shared" si="1"/>
        <v>47361</v>
      </c>
      <c r="C64" s="60"/>
      <c r="D64" s="64">
        <f t="shared" si="8"/>
        <v>6666666.6666666642</v>
      </c>
      <c r="E64" s="63">
        <f>E61</f>
        <v>277777.77777777775</v>
      </c>
      <c r="F64" s="64">
        <f t="shared" si="7"/>
        <v>49198.148148148124</v>
      </c>
      <c r="G64" s="63">
        <f t="shared" si="4"/>
        <v>326975.9259259259</v>
      </c>
      <c r="H64" s="246">
        <v>12</v>
      </c>
      <c r="I64" s="48"/>
      <c r="J64" s="48"/>
    </row>
    <row r="65" spans="1:10">
      <c r="A65">
        <f t="shared" si="5"/>
        <v>50</v>
      </c>
      <c r="B65" s="229">
        <f t="shared" si="1"/>
        <v>47391</v>
      </c>
      <c r="C65" s="60"/>
      <c r="D65" s="64">
        <f t="shared" si="8"/>
        <v>6388888.8888888862</v>
      </c>
      <c r="E65" s="63"/>
      <c r="F65" s="64">
        <f t="shared" si="7"/>
        <v>47611.111111111088</v>
      </c>
      <c r="G65" s="63">
        <f t="shared" si="4"/>
        <v>47611.111111111088</v>
      </c>
      <c r="H65" s="246"/>
      <c r="I65" s="48"/>
      <c r="J65" s="48"/>
    </row>
    <row r="66" spans="1:10">
      <c r="A66">
        <f t="shared" si="5"/>
        <v>51</v>
      </c>
      <c r="B66" s="229">
        <f t="shared" si="1"/>
        <v>47422</v>
      </c>
      <c r="C66" s="60"/>
      <c r="D66" s="64">
        <f t="shared" si="8"/>
        <v>6388888.8888888862</v>
      </c>
      <c r="E66" s="63"/>
      <c r="F66" s="64">
        <f t="shared" si="7"/>
        <v>47148.225308641959</v>
      </c>
      <c r="G66" s="63">
        <f t="shared" si="4"/>
        <v>47148.225308641959</v>
      </c>
      <c r="H66" s="246"/>
      <c r="I66" s="48"/>
      <c r="J66" s="48"/>
    </row>
    <row r="67" spans="1:10">
      <c r="A67">
        <f t="shared" si="5"/>
        <v>52</v>
      </c>
      <c r="B67" s="229">
        <f t="shared" si="1"/>
        <v>47452</v>
      </c>
      <c r="C67" s="60"/>
      <c r="D67" s="64">
        <f t="shared" si="8"/>
        <v>6388888.8888888862</v>
      </c>
      <c r="E67" s="63">
        <f>E64</f>
        <v>277777.77777777775</v>
      </c>
      <c r="F67" s="64">
        <f t="shared" si="7"/>
        <v>45627.314814814788</v>
      </c>
      <c r="G67" s="63">
        <f t="shared" si="4"/>
        <v>323405.09259259253</v>
      </c>
      <c r="H67" s="246">
        <v>13</v>
      </c>
      <c r="I67" s="48"/>
      <c r="J67" s="48"/>
    </row>
    <row r="68" spans="1:10" s="230" customFormat="1">
      <c r="A68">
        <f t="shared" si="5"/>
        <v>53</v>
      </c>
      <c r="B68" s="231">
        <f t="shared" si="1"/>
        <v>47483</v>
      </c>
      <c r="C68" s="234"/>
      <c r="D68" s="233">
        <f t="shared" si="8"/>
        <v>6111111.1111111082</v>
      </c>
      <c r="E68" s="232"/>
      <c r="F68" s="233">
        <f t="shared" si="7"/>
        <v>47148.225308641959</v>
      </c>
      <c r="G68" s="232">
        <f t="shared" si="4"/>
        <v>47148.225308641959</v>
      </c>
      <c r="H68" s="246"/>
      <c r="I68" s="53">
        <f>SUM(E57:E68)</f>
        <v>1111111.111111111</v>
      </c>
      <c r="J68" s="53">
        <f>SUM(F57:F68)</f>
        <v>591105.16975308617</v>
      </c>
    </row>
    <row r="69" spans="1:10">
      <c r="A69">
        <f t="shared" si="5"/>
        <v>54</v>
      </c>
      <c r="B69" s="229">
        <f t="shared" si="1"/>
        <v>47514</v>
      </c>
      <c r="C69" s="60"/>
      <c r="D69" s="64">
        <f t="shared" si="8"/>
        <v>6111111.1111111082</v>
      </c>
      <c r="E69" s="63"/>
      <c r="F69" s="64">
        <f t="shared" si="7"/>
        <v>45098.302469135779</v>
      </c>
      <c r="G69" s="63">
        <f t="shared" si="4"/>
        <v>45098.302469135779</v>
      </c>
      <c r="H69" s="246"/>
      <c r="I69" s="48"/>
      <c r="J69" s="48"/>
    </row>
    <row r="70" spans="1:10">
      <c r="A70">
        <f t="shared" si="5"/>
        <v>55</v>
      </c>
      <c r="B70" s="229">
        <f t="shared" si="1"/>
        <v>47542</v>
      </c>
      <c r="C70" s="60"/>
      <c r="D70" s="64">
        <f t="shared" si="8"/>
        <v>6111111.1111111082</v>
      </c>
      <c r="E70" s="63">
        <f>E67</f>
        <v>277777.77777777775</v>
      </c>
      <c r="F70" s="64">
        <f t="shared" si="7"/>
        <v>40733.950617283932</v>
      </c>
      <c r="G70" s="63">
        <f t="shared" si="4"/>
        <v>318511.72839506168</v>
      </c>
      <c r="H70" s="246">
        <v>14</v>
      </c>
      <c r="I70" s="48"/>
      <c r="J70" s="48"/>
    </row>
    <row r="71" spans="1:10">
      <c r="A71">
        <f t="shared" si="5"/>
        <v>56</v>
      </c>
      <c r="B71" s="229">
        <f t="shared" si="1"/>
        <v>47573</v>
      </c>
      <c r="C71" s="60"/>
      <c r="D71" s="64">
        <f t="shared" si="8"/>
        <v>5833333.3333333302</v>
      </c>
      <c r="E71" s="63"/>
      <c r="F71" s="64">
        <f t="shared" si="7"/>
        <v>45098.302469135779</v>
      </c>
      <c r="G71" s="63">
        <f t="shared" si="4"/>
        <v>45098.302469135779</v>
      </c>
      <c r="H71" s="246"/>
      <c r="I71" s="48"/>
      <c r="J71" s="48"/>
    </row>
    <row r="72" spans="1:10">
      <c r="A72">
        <f t="shared" si="5"/>
        <v>57</v>
      </c>
      <c r="B72" s="229">
        <f t="shared" si="1"/>
        <v>47603</v>
      </c>
      <c r="C72" s="60"/>
      <c r="D72" s="64">
        <f t="shared" si="8"/>
        <v>5833333.3333333302</v>
      </c>
      <c r="E72" s="63"/>
      <c r="F72" s="64">
        <f t="shared" si="7"/>
        <v>41659.722222222197</v>
      </c>
      <c r="G72" s="63">
        <f t="shared" si="4"/>
        <v>41659.722222222197</v>
      </c>
      <c r="H72" s="246"/>
      <c r="I72" s="48"/>
      <c r="J72" s="48"/>
    </row>
    <row r="73" spans="1:10">
      <c r="A73">
        <f t="shared" si="5"/>
        <v>58</v>
      </c>
      <c r="B73" s="229">
        <f t="shared" si="1"/>
        <v>47634</v>
      </c>
      <c r="C73" s="60"/>
      <c r="D73" s="64">
        <f t="shared" si="8"/>
        <v>5833333.3333333302</v>
      </c>
      <c r="E73" s="63">
        <f>E70</f>
        <v>277777.77777777775</v>
      </c>
      <c r="F73" s="64">
        <f t="shared" si="7"/>
        <v>43048.379629629599</v>
      </c>
      <c r="G73" s="63">
        <f t="shared" si="4"/>
        <v>320826.15740740736</v>
      </c>
      <c r="H73" s="246">
        <v>15</v>
      </c>
      <c r="I73" s="48"/>
      <c r="J73" s="48"/>
    </row>
    <row r="74" spans="1:10">
      <c r="A74">
        <f t="shared" si="5"/>
        <v>59</v>
      </c>
      <c r="B74" s="229">
        <f t="shared" ref="B74:B133" si="9">EOMONTH(B73,1)</f>
        <v>47664</v>
      </c>
      <c r="C74" s="60"/>
      <c r="D74" s="64">
        <f t="shared" si="8"/>
        <v>5555555.5555555522</v>
      </c>
      <c r="E74" s="63"/>
      <c r="F74" s="64">
        <f t="shared" si="7"/>
        <v>41659.722222222197</v>
      </c>
      <c r="G74" s="63">
        <f t="shared" ref="G74:G133" si="10">E74+F74</f>
        <v>41659.722222222197</v>
      </c>
      <c r="H74" s="246"/>
      <c r="I74" s="48"/>
      <c r="J74" s="48"/>
    </row>
    <row r="75" spans="1:10">
      <c r="A75">
        <f t="shared" si="5"/>
        <v>60</v>
      </c>
      <c r="B75" s="229">
        <f t="shared" si="9"/>
        <v>47695</v>
      </c>
      <c r="C75" s="60"/>
      <c r="D75" s="64">
        <f t="shared" si="8"/>
        <v>5555555.5555555522</v>
      </c>
      <c r="E75" s="63"/>
      <c r="F75" s="64">
        <f t="shared" si="7"/>
        <v>40998.456790123433</v>
      </c>
      <c r="G75" s="63">
        <f t="shared" si="10"/>
        <v>40998.456790123433</v>
      </c>
      <c r="H75" s="246"/>
      <c r="I75" s="48"/>
      <c r="J75" s="48"/>
    </row>
    <row r="76" spans="1:10">
      <c r="A76">
        <f t="shared" si="5"/>
        <v>61</v>
      </c>
      <c r="B76" s="229">
        <f t="shared" si="9"/>
        <v>47726</v>
      </c>
      <c r="C76" s="60"/>
      <c r="D76" s="64">
        <f t="shared" si="8"/>
        <v>5555555.5555555522</v>
      </c>
      <c r="E76" s="63">
        <f>E73</f>
        <v>277777.77777777775</v>
      </c>
      <c r="F76" s="64">
        <f t="shared" si="7"/>
        <v>40998.456790123433</v>
      </c>
      <c r="G76" s="63">
        <f t="shared" si="10"/>
        <v>318776.23456790118</v>
      </c>
      <c r="H76" s="246">
        <v>16</v>
      </c>
      <c r="I76" s="48"/>
      <c r="J76" s="48"/>
    </row>
    <row r="77" spans="1:10">
      <c r="A77">
        <f t="shared" si="5"/>
        <v>62</v>
      </c>
      <c r="B77" s="229">
        <f t="shared" si="9"/>
        <v>47756</v>
      </c>
      <c r="C77" s="60"/>
      <c r="D77" s="64">
        <f t="shared" si="8"/>
        <v>5277777.7777777743</v>
      </c>
      <c r="E77" s="63"/>
      <c r="F77" s="64">
        <f t="shared" si="7"/>
        <v>39675.925925925898</v>
      </c>
      <c r="G77" s="63">
        <f t="shared" si="10"/>
        <v>39675.925925925898</v>
      </c>
      <c r="H77" s="246"/>
      <c r="I77" s="48"/>
      <c r="J77" s="48"/>
    </row>
    <row r="78" spans="1:10">
      <c r="A78">
        <f t="shared" si="5"/>
        <v>63</v>
      </c>
      <c r="B78" s="229">
        <f t="shared" si="9"/>
        <v>47787</v>
      </c>
      <c r="C78" s="60"/>
      <c r="D78" s="64">
        <f t="shared" si="8"/>
        <v>5277777.7777777743</v>
      </c>
      <c r="E78" s="63"/>
      <c r="F78" s="64">
        <f t="shared" si="7"/>
        <v>38948.53395061726</v>
      </c>
      <c r="G78" s="63">
        <f t="shared" si="10"/>
        <v>38948.53395061726</v>
      </c>
      <c r="H78" s="246"/>
      <c r="I78" s="48"/>
      <c r="J78" s="48"/>
    </row>
    <row r="79" spans="1:10">
      <c r="A79">
        <f t="shared" si="5"/>
        <v>64</v>
      </c>
      <c r="B79" s="229">
        <f t="shared" si="9"/>
        <v>47817</v>
      </c>
      <c r="C79" s="60"/>
      <c r="D79" s="64">
        <f t="shared" si="8"/>
        <v>5277777.7777777743</v>
      </c>
      <c r="E79" s="63">
        <f>E76</f>
        <v>277777.77777777775</v>
      </c>
      <c r="F79" s="64">
        <f t="shared" si="7"/>
        <v>37692.129629629599</v>
      </c>
      <c r="G79" s="63">
        <f t="shared" si="10"/>
        <v>315469.90740740736</v>
      </c>
      <c r="H79" s="246">
        <v>17</v>
      </c>
      <c r="I79" s="48"/>
      <c r="J79" s="48"/>
    </row>
    <row r="80" spans="1:10" s="230" customFormat="1">
      <c r="A80">
        <f t="shared" si="5"/>
        <v>65</v>
      </c>
      <c r="B80" s="231">
        <f t="shared" si="9"/>
        <v>47848</v>
      </c>
      <c r="C80" s="234"/>
      <c r="D80" s="233">
        <f t="shared" si="8"/>
        <v>4999999.9999999963</v>
      </c>
      <c r="E80" s="232"/>
      <c r="F80" s="233">
        <f t="shared" si="7"/>
        <v>38948.53395061726</v>
      </c>
      <c r="G80" s="232">
        <f t="shared" si="10"/>
        <v>38948.53395061726</v>
      </c>
      <c r="H80" s="246"/>
      <c r="I80" s="53">
        <f>SUM(E69:E80)</f>
        <v>1111111.111111111</v>
      </c>
      <c r="J80" s="53">
        <f>SUM(F69:F80)</f>
        <v>494560.41666666634</v>
      </c>
    </row>
    <row r="81" spans="1:10">
      <c r="A81">
        <f t="shared" si="5"/>
        <v>66</v>
      </c>
      <c r="B81" s="229">
        <f t="shared" si="9"/>
        <v>47879</v>
      </c>
      <c r="C81" s="60"/>
      <c r="D81" s="64">
        <f t="shared" si="8"/>
        <v>4999999.9999999963</v>
      </c>
      <c r="E81" s="63"/>
      <c r="F81" s="64">
        <f t="shared" si="7"/>
        <v>36898.61111111108</v>
      </c>
      <c r="G81" s="63">
        <f t="shared" si="10"/>
        <v>36898.61111111108</v>
      </c>
      <c r="H81" s="246"/>
      <c r="I81" s="48"/>
      <c r="J81" s="48"/>
    </row>
    <row r="82" spans="1:10">
      <c r="A82">
        <f t="shared" ref="A82:A133" si="11">A81+1</f>
        <v>67</v>
      </c>
      <c r="B82" s="229">
        <f t="shared" si="9"/>
        <v>47907</v>
      </c>
      <c r="C82" s="60"/>
      <c r="D82" s="64">
        <f t="shared" si="8"/>
        <v>4999999.9999999963</v>
      </c>
      <c r="E82" s="63">
        <f>E79</f>
        <v>277777.77777777775</v>
      </c>
      <c r="F82" s="64">
        <f t="shared" si="7"/>
        <v>33327.777777777752</v>
      </c>
      <c r="G82" s="63">
        <f t="shared" si="10"/>
        <v>311105.5555555555</v>
      </c>
      <c r="H82" s="246">
        <v>18</v>
      </c>
      <c r="I82" s="48"/>
      <c r="J82" s="48"/>
    </row>
    <row r="83" spans="1:10">
      <c r="A83">
        <f t="shared" si="11"/>
        <v>68</v>
      </c>
      <c r="B83" s="229">
        <f t="shared" si="9"/>
        <v>47938</v>
      </c>
      <c r="C83" s="60"/>
      <c r="D83" s="64">
        <f t="shared" si="8"/>
        <v>4722222.2222222183</v>
      </c>
      <c r="E83" s="63"/>
      <c r="F83" s="64">
        <f t="shared" si="7"/>
        <v>36898.61111111108</v>
      </c>
      <c r="G83" s="63">
        <f t="shared" si="10"/>
        <v>36898.61111111108</v>
      </c>
      <c r="H83" s="246"/>
      <c r="I83" s="48"/>
      <c r="J83" s="48"/>
    </row>
    <row r="84" spans="1:10">
      <c r="A84">
        <f t="shared" si="11"/>
        <v>69</v>
      </c>
      <c r="B84" s="229">
        <f t="shared" si="9"/>
        <v>47968</v>
      </c>
      <c r="C84" s="60"/>
      <c r="D84" s="64">
        <f t="shared" si="8"/>
        <v>4722222.2222222183</v>
      </c>
      <c r="E84" s="63"/>
      <c r="F84" s="64">
        <f t="shared" si="7"/>
        <v>33724.537037037007</v>
      </c>
      <c r="G84" s="63">
        <f t="shared" si="10"/>
        <v>33724.537037037007</v>
      </c>
      <c r="H84" s="246"/>
      <c r="I84" s="48"/>
      <c r="J84" s="48"/>
    </row>
    <row r="85" spans="1:10">
      <c r="A85">
        <f t="shared" si="11"/>
        <v>70</v>
      </c>
      <c r="B85" s="229">
        <f t="shared" si="9"/>
        <v>47999</v>
      </c>
      <c r="C85" s="60"/>
      <c r="D85" s="64">
        <f t="shared" si="8"/>
        <v>4722222.2222222183</v>
      </c>
      <c r="E85" s="63">
        <f>E82</f>
        <v>277777.77777777775</v>
      </c>
      <c r="F85" s="64">
        <f t="shared" si="7"/>
        <v>34848.688271604908</v>
      </c>
      <c r="G85" s="63">
        <f t="shared" si="10"/>
        <v>312626.46604938264</v>
      </c>
      <c r="H85" s="246">
        <v>19</v>
      </c>
      <c r="I85" s="48"/>
      <c r="J85" s="48"/>
    </row>
    <row r="86" spans="1:10">
      <c r="A86">
        <f t="shared" si="11"/>
        <v>71</v>
      </c>
      <c r="B86" s="229">
        <f t="shared" si="9"/>
        <v>48029</v>
      </c>
      <c r="C86" s="60"/>
      <c r="D86" s="64">
        <f t="shared" si="8"/>
        <v>4444444.4444444403</v>
      </c>
      <c r="E86" s="63"/>
      <c r="F86" s="64">
        <f t="shared" si="7"/>
        <v>33724.537037037007</v>
      </c>
      <c r="G86" s="63">
        <f t="shared" si="10"/>
        <v>33724.537037037007</v>
      </c>
      <c r="H86" s="246"/>
      <c r="I86" s="48"/>
      <c r="J86" s="48"/>
    </row>
    <row r="87" spans="1:10">
      <c r="A87">
        <f t="shared" si="11"/>
        <v>72</v>
      </c>
      <c r="B87" s="229">
        <f t="shared" si="9"/>
        <v>48060</v>
      </c>
      <c r="C87" s="60"/>
      <c r="D87" s="64">
        <f t="shared" si="8"/>
        <v>4444444.4444444403</v>
      </c>
      <c r="E87" s="63"/>
      <c r="F87" s="64">
        <f t="shared" ref="F87:F133" si="12">(B87-B86)*$D$4*D86/360</f>
        <v>32798.765432098728</v>
      </c>
      <c r="G87" s="63">
        <f t="shared" si="10"/>
        <v>32798.765432098728</v>
      </c>
      <c r="H87" s="246"/>
      <c r="I87" s="48"/>
      <c r="J87" s="48"/>
    </row>
    <row r="88" spans="1:10">
      <c r="A88">
        <f t="shared" si="11"/>
        <v>73</v>
      </c>
      <c r="B88" s="229">
        <f t="shared" si="9"/>
        <v>48091</v>
      </c>
      <c r="C88" s="60"/>
      <c r="D88" s="64">
        <f t="shared" si="8"/>
        <v>4444444.4444444403</v>
      </c>
      <c r="E88" s="63">
        <f>E85</f>
        <v>277777.77777777775</v>
      </c>
      <c r="F88" s="64">
        <f t="shared" si="12"/>
        <v>32798.765432098728</v>
      </c>
      <c r="G88" s="63">
        <f t="shared" si="10"/>
        <v>310576.54320987646</v>
      </c>
      <c r="H88" s="246">
        <v>20</v>
      </c>
      <c r="I88" s="48"/>
      <c r="J88" s="48"/>
    </row>
    <row r="89" spans="1:10">
      <c r="A89">
        <f t="shared" si="11"/>
        <v>74</v>
      </c>
      <c r="B89" s="229">
        <f t="shared" si="9"/>
        <v>48121</v>
      </c>
      <c r="C89" s="60"/>
      <c r="D89" s="64">
        <f t="shared" si="8"/>
        <v>4166666.6666666623</v>
      </c>
      <c r="E89" s="63"/>
      <c r="F89" s="64">
        <f t="shared" si="12"/>
        <v>31740.740740740708</v>
      </c>
      <c r="G89" s="63">
        <f t="shared" si="10"/>
        <v>31740.740740740708</v>
      </c>
      <c r="H89" s="246"/>
      <c r="I89" s="48"/>
      <c r="J89" s="48"/>
    </row>
    <row r="90" spans="1:10">
      <c r="A90">
        <f t="shared" si="11"/>
        <v>75</v>
      </c>
      <c r="B90" s="229">
        <f t="shared" si="9"/>
        <v>48152</v>
      </c>
      <c r="C90" s="60"/>
      <c r="D90" s="64">
        <f t="shared" si="8"/>
        <v>4166666.6666666623</v>
      </c>
      <c r="E90" s="63"/>
      <c r="F90" s="64">
        <f t="shared" si="12"/>
        <v>30748.842592592559</v>
      </c>
      <c r="G90" s="63">
        <f t="shared" si="10"/>
        <v>30748.842592592559</v>
      </c>
      <c r="H90" s="246"/>
      <c r="I90" s="48"/>
      <c r="J90" s="48"/>
    </row>
    <row r="91" spans="1:10">
      <c r="A91">
        <f t="shared" si="11"/>
        <v>76</v>
      </c>
      <c r="B91" s="229">
        <f t="shared" si="9"/>
        <v>48182</v>
      </c>
      <c r="C91" s="60"/>
      <c r="D91" s="64">
        <f t="shared" si="8"/>
        <v>4166666.6666666623</v>
      </c>
      <c r="E91" s="63">
        <f>E88</f>
        <v>277777.77777777775</v>
      </c>
      <c r="F91" s="64">
        <f t="shared" si="12"/>
        <v>29756.944444444409</v>
      </c>
      <c r="G91" s="63">
        <f t="shared" si="10"/>
        <v>307534.72222222213</v>
      </c>
      <c r="H91" s="246">
        <v>21</v>
      </c>
      <c r="I91" s="48"/>
      <c r="J91" s="48"/>
    </row>
    <row r="92" spans="1:10" s="230" customFormat="1">
      <c r="A92">
        <f t="shared" si="11"/>
        <v>77</v>
      </c>
      <c r="B92" s="231">
        <f t="shared" si="9"/>
        <v>48213</v>
      </c>
      <c r="C92" s="234"/>
      <c r="D92" s="233">
        <f t="shared" si="8"/>
        <v>3888888.8888888843</v>
      </c>
      <c r="E92" s="232"/>
      <c r="F92" s="233">
        <f t="shared" si="12"/>
        <v>30748.842592592559</v>
      </c>
      <c r="G92" s="232">
        <f t="shared" si="10"/>
        <v>30748.842592592559</v>
      </c>
      <c r="H92" s="246"/>
      <c r="I92" s="53">
        <f>SUM(E81:E92)</f>
        <v>1111111.111111111</v>
      </c>
      <c r="J92" s="53">
        <f>SUM(F81:F92)</f>
        <v>398015.66358024662</v>
      </c>
    </row>
    <row r="93" spans="1:10">
      <c r="A93">
        <f t="shared" si="11"/>
        <v>78</v>
      </c>
      <c r="B93" s="229">
        <f t="shared" si="9"/>
        <v>48244</v>
      </c>
      <c r="C93" s="60"/>
      <c r="D93" s="64">
        <f t="shared" si="8"/>
        <v>3888888.8888888843</v>
      </c>
      <c r="E93" s="63"/>
      <c r="F93" s="64">
        <f t="shared" si="12"/>
        <v>28698.919753086386</v>
      </c>
      <c r="G93" s="63">
        <f t="shared" si="10"/>
        <v>28698.919753086386</v>
      </c>
      <c r="H93" s="246"/>
      <c r="I93" s="48"/>
      <c r="J93" s="48"/>
    </row>
    <row r="94" spans="1:10">
      <c r="A94">
        <f t="shared" si="11"/>
        <v>79</v>
      </c>
      <c r="B94" s="229">
        <f t="shared" si="9"/>
        <v>48273</v>
      </c>
      <c r="C94" s="60"/>
      <c r="D94" s="64">
        <f t="shared" ref="D94:D133" si="13">D93-E93</f>
        <v>3888888.8888888843</v>
      </c>
      <c r="E94" s="63">
        <f>E91</f>
        <v>277777.77777777775</v>
      </c>
      <c r="F94" s="64">
        <f t="shared" si="12"/>
        <v>26847.376543209848</v>
      </c>
      <c r="G94" s="63">
        <f t="shared" si="10"/>
        <v>304625.15432098758</v>
      </c>
      <c r="H94" s="246">
        <v>22</v>
      </c>
      <c r="I94" s="48"/>
      <c r="J94" s="48"/>
    </row>
    <row r="95" spans="1:10">
      <c r="A95">
        <f t="shared" si="11"/>
        <v>80</v>
      </c>
      <c r="B95" s="229">
        <f t="shared" si="9"/>
        <v>48304</v>
      </c>
      <c r="C95" s="60"/>
      <c r="D95" s="64">
        <f t="shared" si="13"/>
        <v>3611111.1111111064</v>
      </c>
      <c r="E95" s="63"/>
      <c r="F95" s="64">
        <f t="shared" si="12"/>
        <v>28698.919753086386</v>
      </c>
      <c r="G95" s="63">
        <f t="shared" si="10"/>
        <v>28698.919753086386</v>
      </c>
      <c r="H95" s="246"/>
      <c r="I95" s="48"/>
      <c r="J95" s="48"/>
    </row>
    <row r="96" spans="1:10">
      <c r="A96">
        <f t="shared" si="11"/>
        <v>81</v>
      </c>
      <c r="B96" s="229">
        <f t="shared" si="9"/>
        <v>48334</v>
      </c>
      <c r="C96" s="60"/>
      <c r="D96" s="64">
        <f t="shared" si="13"/>
        <v>3611111.1111111064</v>
      </c>
      <c r="E96" s="63"/>
      <c r="F96" s="64">
        <f t="shared" si="12"/>
        <v>25789.351851851814</v>
      </c>
      <c r="G96" s="63">
        <f t="shared" si="10"/>
        <v>25789.351851851814</v>
      </c>
      <c r="H96" s="246"/>
      <c r="I96" s="48"/>
      <c r="J96" s="48"/>
    </row>
    <row r="97" spans="1:10">
      <c r="A97">
        <f t="shared" si="11"/>
        <v>82</v>
      </c>
      <c r="B97" s="229">
        <f t="shared" si="9"/>
        <v>48365</v>
      </c>
      <c r="C97" s="60"/>
      <c r="D97" s="64">
        <f t="shared" si="13"/>
        <v>3611111.1111111064</v>
      </c>
      <c r="E97" s="63">
        <f>E94</f>
        <v>277777.77777777775</v>
      </c>
      <c r="F97" s="64">
        <f t="shared" si="12"/>
        <v>26648.996913580209</v>
      </c>
      <c r="G97" s="63">
        <f t="shared" si="10"/>
        <v>304426.77469135798</v>
      </c>
      <c r="H97" s="246">
        <v>23</v>
      </c>
      <c r="I97" s="48"/>
      <c r="J97" s="48"/>
    </row>
    <row r="98" spans="1:10">
      <c r="A98">
        <f t="shared" si="11"/>
        <v>83</v>
      </c>
      <c r="B98" s="229">
        <f t="shared" si="9"/>
        <v>48395</v>
      </c>
      <c r="C98" s="60"/>
      <c r="D98" s="64">
        <f t="shared" si="13"/>
        <v>3333333.3333333284</v>
      </c>
      <c r="E98" s="63"/>
      <c r="F98" s="64">
        <f t="shared" si="12"/>
        <v>25789.351851851814</v>
      </c>
      <c r="G98" s="63">
        <f t="shared" si="10"/>
        <v>25789.351851851814</v>
      </c>
      <c r="H98" s="246"/>
      <c r="I98" s="48"/>
      <c r="J98" s="48"/>
    </row>
    <row r="99" spans="1:10">
      <c r="A99">
        <f t="shared" si="11"/>
        <v>84</v>
      </c>
      <c r="B99" s="229">
        <f t="shared" si="9"/>
        <v>48426</v>
      </c>
      <c r="C99" s="60"/>
      <c r="D99" s="64">
        <f t="shared" si="13"/>
        <v>3333333.3333333284</v>
      </c>
      <c r="E99" s="63"/>
      <c r="F99" s="64">
        <f t="shared" si="12"/>
        <v>24599.074074074037</v>
      </c>
      <c r="G99" s="63">
        <f t="shared" si="10"/>
        <v>24599.074074074037</v>
      </c>
      <c r="H99" s="246"/>
      <c r="I99" s="48"/>
      <c r="J99" s="48"/>
    </row>
    <row r="100" spans="1:10">
      <c r="A100">
        <f t="shared" si="11"/>
        <v>85</v>
      </c>
      <c r="B100" s="229">
        <f t="shared" si="9"/>
        <v>48457</v>
      </c>
      <c r="C100" s="60"/>
      <c r="D100" s="64">
        <f t="shared" si="13"/>
        <v>3333333.3333333284</v>
      </c>
      <c r="E100" s="63">
        <f>E97</f>
        <v>277777.77777777775</v>
      </c>
      <c r="F100" s="64">
        <f t="shared" si="12"/>
        <v>24599.074074074037</v>
      </c>
      <c r="G100" s="63">
        <f t="shared" si="10"/>
        <v>302376.8518518518</v>
      </c>
      <c r="H100" s="246">
        <v>24</v>
      </c>
      <c r="I100" s="48"/>
      <c r="J100" s="48"/>
    </row>
    <row r="101" spans="1:10">
      <c r="A101">
        <f t="shared" si="11"/>
        <v>86</v>
      </c>
      <c r="B101" s="229">
        <f t="shared" si="9"/>
        <v>48487</v>
      </c>
      <c r="C101" s="60"/>
      <c r="D101" s="64">
        <f t="shared" si="13"/>
        <v>3055555.5555555504</v>
      </c>
      <c r="E101" s="63"/>
      <c r="F101" s="64">
        <f t="shared" si="12"/>
        <v>23805.555555555518</v>
      </c>
      <c r="G101" s="63">
        <f t="shared" si="10"/>
        <v>23805.555555555518</v>
      </c>
      <c r="H101" s="246"/>
      <c r="I101" s="48"/>
      <c r="J101" s="48"/>
    </row>
    <row r="102" spans="1:10">
      <c r="A102">
        <f t="shared" si="11"/>
        <v>87</v>
      </c>
      <c r="B102" s="229">
        <f t="shared" si="9"/>
        <v>48518</v>
      </c>
      <c r="C102" s="60"/>
      <c r="D102" s="64">
        <f t="shared" si="13"/>
        <v>3055555.5555555504</v>
      </c>
      <c r="E102" s="63"/>
      <c r="F102" s="64">
        <f t="shared" si="12"/>
        <v>22549.15123456786</v>
      </c>
      <c r="G102" s="63">
        <f t="shared" si="10"/>
        <v>22549.15123456786</v>
      </c>
      <c r="H102" s="246"/>
      <c r="I102" s="48"/>
      <c r="J102" s="48"/>
    </row>
    <row r="103" spans="1:10">
      <c r="A103">
        <f t="shared" si="11"/>
        <v>88</v>
      </c>
      <c r="B103" s="229">
        <f t="shared" si="9"/>
        <v>48548</v>
      </c>
      <c r="C103" s="60"/>
      <c r="D103" s="64">
        <f t="shared" si="13"/>
        <v>3055555.5555555504</v>
      </c>
      <c r="E103" s="63">
        <f>E100</f>
        <v>277777.77777777775</v>
      </c>
      <c r="F103" s="64">
        <f t="shared" si="12"/>
        <v>21821.759259259219</v>
      </c>
      <c r="G103" s="63">
        <f t="shared" si="10"/>
        <v>299599.53703703696</v>
      </c>
      <c r="H103" s="246">
        <v>25</v>
      </c>
      <c r="I103" s="48"/>
      <c r="J103" s="48"/>
    </row>
    <row r="104" spans="1:10" s="230" customFormat="1">
      <c r="A104">
        <f t="shared" si="11"/>
        <v>89</v>
      </c>
      <c r="B104" s="231">
        <f t="shared" si="9"/>
        <v>48579</v>
      </c>
      <c r="C104" s="234"/>
      <c r="D104" s="233">
        <f t="shared" si="13"/>
        <v>2777777.7777777724</v>
      </c>
      <c r="E104" s="232"/>
      <c r="F104" s="233">
        <f t="shared" si="12"/>
        <v>22549.15123456786</v>
      </c>
      <c r="G104" s="232">
        <f t="shared" si="10"/>
        <v>22549.15123456786</v>
      </c>
      <c r="H104" s="246"/>
      <c r="I104" s="53">
        <f>SUM(E93:E104)</f>
        <v>1111111.111111111</v>
      </c>
      <c r="J104" s="53">
        <f>SUM(F93:F104)</f>
        <v>302396.68209876504</v>
      </c>
    </row>
    <row r="105" spans="1:10">
      <c r="A105">
        <f t="shared" si="11"/>
        <v>90</v>
      </c>
      <c r="B105" s="229">
        <f t="shared" si="9"/>
        <v>48610</v>
      </c>
      <c r="C105" s="60"/>
      <c r="D105" s="64">
        <f t="shared" si="13"/>
        <v>2777777.7777777724</v>
      </c>
      <c r="E105" s="63"/>
      <c r="F105" s="64">
        <f t="shared" si="12"/>
        <v>20499.228395061687</v>
      </c>
      <c r="G105" s="63">
        <f t="shared" si="10"/>
        <v>20499.228395061687</v>
      </c>
      <c r="H105" s="246"/>
      <c r="I105" s="48"/>
      <c r="J105" s="48"/>
    </row>
    <row r="106" spans="1:10">
      <c r="A106">
        <f t="shared" si="11"/>
        <v>91</v>
      </c>
      <c r="B106" s="229">
        <f t="shared" si="9"/>
        <v>48638</v>
      </c>
      <c r="C106" s="60"/>
      <c r="D106" s="64">
        <f t="shared" si="13"/>
        <v>2777777.7777777724</v>
      </c>
      <c r="E106" s="63">
        <f>E103</f>
        <v>277777.77777777775</v>
      </c>
      <c r="F106" s="64">
        <f t="shared" si="12"/>
        <v>18515.432098765395</v>
      </c>
      <c r="G106" s="63">
        <f t="shared" si="10"/>
        <v>296293.20987654314</v>
      </c>
      <c r="H106" s="246">
        <v>26</v>
      </c>
      <c r="I106" s="48"/>
      <c r="J106" s="48"/>
    </row>
    <row r="107" spans="1:10">
      <c r="A107">
        <f t="shared" si="11"/>
        <v>92</v>
      </c>
      <c r="B107" s="229">
        <f t="shared" si="9"/>
        <v>48669</v>
      </c>
      <c r="C107" s="60"/>
      <c r="D107" s="64">
        <f t="shared" si="13"/>
        <v>2499999.9999999944</v>
      </c>
      <c r="E107" s="63"/>
      <c r="F107" s="64">
        <f t="shared" si="12"/>
        <v>20499.228395061687</v>
      </c>
      <c r="G107" s="63">
        <f t="shared" si="10"/>
        <v>20499.228395061687</v>
      </c>
      <c r="H107" s="246"/>
      <c r="I107" s="48"/>
      <c r="J107" s="48"/>
    </row>
    <row r="108" spans="1:10">
      <c r="A108">
        <f t="shared" si="11"/>
        <v>93</v>
      </c>
      <c r="B108" s="229">
        <f t="shared" si="9"/>
        <v>48699</v>
      </c>
      <c r="C108" s="60"/>
      <c r="D108" s="64">
        <f t="shared" si="13"/>
        <v>2499999.9999999944</v>
      </c>
      <c r="E108" s="63"/>
      <c r="F108" s="64">
        <f t="shared" si="12"/>
        <v>17854.166666666624</v>
      </c>
      <c r="G108" s="63">
        <f t="shared" si="10"/>
        <v>17854.166666666624</v>
      </c>
      <c r="H108" s="246"/>
      <c r="I108" s="48"/>
      <c r="J108" s="48"/>
    </row>
    <row r="109" spans="1:10">
      <c r="A109">
        <f t="shared" si="11"/>
        <v>94</v>
      </c>
      <c r="B109" s="229">
        <f t="shared" si="9"/>
        <v>48730</v>
      </c>
      <c r="C109" s="60"/>
      <c r="D109" s="64">
        <f t="shared" si="13"/>
        <v>2499999.9999999944</v>
      </c>
      <c r="E109" s="63">
        <f>E106</f>
        <v>277777.77777777775</v>
      </c>
      <c r="F109" s="64">
        <f t="shared" si="12"/>
        <v>18449.305555555515</v>
      </c>
      <c r="G109" s="63">
        <f t="shared" si="10"/>
        <v>296227.08333333326</v>
      </c>
      <c r="H109" s="246">
        <v>27</v>
      </c>
      <c r="I109" s="48"/>
      <c r="J109" s="48"/>
    </row>
    <row r="110" spans="1:10">
      <c r="A110">
        <f t="shared" si="11"/>
        <v>95</v>
      </c>
      <c r="B110" s="229">
        <f t="shared" si="9"/>
        <v>48760</v>
      </c>
      <c r="C110" s="60"/>
      <c r="D110" s="64">
        <f t="shared" si="13"/>
        <v>2222222.2222222164</v>
      </c>
      <c r="E110" s="63"/>
      <c r="F110" s="64">
        <f t="shared" si="12"/>
        <v>17854.166666666624</v>
      </c>
      <c r="G110" s="63">
        <f t="shared" si="10"/>
        <v>17854.166666666624</v>
      </c>
      <c r="H110" s="246"/>
      <c r="I110" s="48"/>
      <c r="J110" s="48"/>
    </row>
    <row r="111" spans="1:10">
      <c r="A111">
        <f t="shared" si="11"/>
        <v>96</v>
      </c>
      <c r="B111" s="229">
        <f t="shared" si="9"/>
        <v>48791</v>
      </c>
      <c r="C111" s="60"/>
      <c r="D111" s="64">
        <f t="shared" si="13"/>
        <v>2222222.2222222164</v>
      </c>
      <c r="E111" s="63"/>
      <c r="F111" s="64">
        <f t="shared" si="12"/>
        <v>16399.382716049338</v>
      </c>
      <c r="G111" s="63">
        <f t="shared" si="10"/>
        <v>16399.382716049338</v>
      </c>
      <c r="H111" s="246"/>
      <c r="I111" s="48"/>
      <c r="J111" s="48"/>
    </row>
    <row r="112" spans="1:10">
      <c r="A112">
        <f t="shared" si="11"/>
        <v>97</v>
      </c>
      <c r="B112" s="229">
        <f t="shared" si="9"/>
        <v>48822</v>
      </c>
      <c r="C112" s="60"/>
      <c r="D112" s="64">
        <f t="shared" si="13"/>
        <v>2222222.2222222164</v>
      </c>
      <c r="E112" s="63">
        <f>E109</f>
        <v>277777.77777777775</v>
      </c>
      <c r="F112" s="64">
        <f t="shared" si="12"/>
        <v>16399.382716049338</v>
      </c>
      <c r="G112" s="63">
        <f t="shared" si="10"/>
        <v>294177.16049382708</v>
      </c>
      <c r="H112" s="246">
        <v>28</v>
      </c>
      <c r="I112" s="48"/>
      <c r="J112" s="48"/>
    </row>
    <row r="113" spans="1:10">
      <c r="A113">
        <f t="shared" si="11"/>
        <v>98</v>
      </c>
      <c r="B113" s="229">
        <f t="shared" si="9"/>
        <v>48852</v>
      </c>
      <c r="C113" s="60"/>
      <c r="D113" s="64">
        <f t="shared" si="13"/>
        <v>1944444.4444444387</v>
      </c>
      <c r="E113" s="63"/>
      <c r="F113" s="64">
        <f t="shared" si="12"/>
        <v>15870.370370370329</v>
      </c>
      <c r="G113" s="63">
        <f t="shared" si="10"/>
        <v>15870.370370370329</v>
      </c>
      <c r="H113" s="246"/>
      <c r="I113" s="48"/>
      <c r="J113" s="48"/>
    </row>
    <row r="114" spans="1:10">
      <c r="A114">
        <f t="shared" si="11"/>
        <v>99</v>
      </c>
      <c r="B114" s="229">
        <f t="shared" si="9"/>
        <v>48883</v>
      </c>
      <c r="C114" s="60"/>
      <c r="D114" s="64">
        <f t="shared" si="13"/>
        <v>1944444.4444444387</v>
      </c>
      <c r="E114" s="63"/>
      <c r="F114" s="64">
        <f t="shared" si="12"/>
        <v>14349.459876543167</v>
      </c>
      <c r="G114" s="63">
        <f t="shared" si="10"/>
        <v>14349.459876543167</v>
      </c>
      <c r="H114" s="246"/>
      <c r="I114" s="48"/>
      <c r="J114" s="48"/>
    </row>
    <row r="115" spans="1:10">
      <c r="A115">
        <f t="shared" si="11"/>
        <v>100</v>
      </c>
      <c r="B115" s="229">
        <f t="shared" si="9"/>
        <v>48913</v>
      </c>
      <c r="C115" s="60"/>
      <c r="D115" s="64">
        <f t="shared" si="13"/>
        <v>1944444.4444444387</v>
      </c>
      <c r="E115" s="63">
        <f>E112</f>
        <v>277777.77777777775</v>
      </c>
      <c r="F115" s="64">
        <f t="shared" si="12"/>
        <v>13886.574074074031</v>
      </c>
      <c r="G115" s="63">
        <f t="shared" si="10"/>
        <v>291664.3518518518</v>
      </c>
      <c r="H115" s="246">
        <v>29</v>
      </c>
      <c r="I115" s="48"/>
      <c r="J115" s="48"/>
    </row>
    <row r="116" spans="1:10" s="230" customFormat="1">
      <c r="A116">
        <f t="shared" si="11"/>
        <v>101</v>
      </c>
      <c r="B116" s="231">
        <f t="shared" si="9"/>
        <v>48944</v>
      </c>
      <c r="C116" s="234"/>
      <c r="D116" s="233">
        <f t="shared" si="13"/>
        <v>1666666.6666666609</v>
      </c>
      <c r="E116" s="232"/>
      <c r="F116" s="233">
        <f t="shared" si="12"/>
        <v>14349.459876543167</v>
      </c>
      <c r="G116" s="232">
        <f t="shared" si="10"/>
        <v>14349.459876543167</v>
      </c>
      <c r="H116" s="246"/>
      <c r="I116" s="53">
        <f>SUM(E105:E116)</f>
        <v>1111111.111111111</v>
      </c>
      <c r="J116" s="53">
        <f>SUM(F105:F116)</f>
        <v>204926.15740740695</v>
      </c>
    </row>
    <row r="117" spans="1:10">
      <c r="A117">
        <f t="shared" si="11"/>
        <v>102</v>
      </c>
      <c r="B117" s="229">
        <f t="shared" si="9"/>
        <v>48975</v>
      </c>
      <c r="C117" s="60"/>
      <c r="D117" s="64">
        <f t="shared" si="13"/>
        <v>1666666.6666666609</v>
      </c>
      <c r="E117" s="63"/>
      <c r="F117" s="64">
        <f t="shared" si="12"/>
        <v>12299.537037036995</v>
      </c>
      <c r="G117" s="63">
        <f t="shared" si="10"/>
        <v>12299.537037036995</v>
      </c>
      <c r="H117" s="246"/>
      <c r="I117" s="48"/>
      <c r="J117" s="48"/>
    </row>
    <row r="118" spans="1:10">
      <c r="A118">
        <f t="shared" si="11"/>
        <v>103</v>
      </c>
      <c r="B118" s="229">
        <f t="shared" si="9"/>
        <v>49003</v>
      </c>
      <c r="C118" s="60"/>
      <c r="D118" s="64">
        <f t="shared" si="13"/>
        <v>1666666.6666666609</v>
      </c>
      <c r="E118" s="63">
        <f>E115</f>
        <v>277777.77777777775</v>
      </c>
      <c r="F118" s="64">
        <f t="shared" si="12"/>
        <v>11109.259259259221</v>
      </c>
      <c r="G118" s="63">
        <f t="shared" si="10"/>
        <v>288887.03703703696</v>
      </c>
      <c r="H118" s="246">
        <v>30</v>
      </c>
      <c r="I118" s="48"/>
      <c r="J118" s="48"/>
    </row>
    <row r="119" spans="1:10">
      <c r="A119">
        <f t="shared" si="11"/>
        <v>104</v>
      </c>
      <c r="B119" s="229">
        <f t="shared" si="9"/>
        <v>49034</v>
      </c>
      <c r="C119" s="60"/>
      <c r="D119" s="64">
        <f t="shared" si="13"/>
        <v>1388888.8888888832</v>
      </c>
      <c r="E119" s="63"/>
      <c r="F119" s="64">
        <f t="shared" si="12"/>
        <v>12299.537037036995</v>
      </c>
      <c r="G119" s="63">
        <f t="shared" si="10"/>
        <v>12299.537037036995</v>
      </c>
      <c r="H119" s="246"/>
      <c r="I119" s="48"/>
      <c r="J119" s="48"/>
    </row>
    <row r="120" spans="1:10">
      <c r="A120">
        <f t="shared" si="11"/>
        <v>105</v>
      </c>
      <c r="B120" s="229">
        <f t="shared" si="9"/>
        <v>49064</v>
      </c>
      <c r="C120" s="60"/>
      <c r="D120" s="64">
        <f t="shared" si="13"/>
        <v>1388888.8888888832</v>
      </c>
      <c r="E120" s="63"/>
      <c r="F120" s="64">
        <f t="shared" si="12"/>
        <v>9918.9814814814399</v>
      </c>
      <c r="G120" s="63">
        <f t="shared" si="10"/>
        <v>9918.9814814814399</v>
      </c>
      <c r="H120" s="246"/>
      <c r="I120" s="48"/>
      <c r="J120" s="48"/>
    </row>
    <row r="121" spans="1:10">
      <c r="A121">
        <f t="shared" si="11"/>
        <v>106</v>
      </c>
      <c r="B121" s="229">
        <f t="shared" si="9"/>
        <v>49095</v>
      </c>
      <c r="C121" s="60"/>
      <c r="D121" s="64">
        <f t="shared" si="13"/>
        <v>1388888.8888888832</v>
      </c>
      <c r="E121" s="63">
        <f>E118</f>
        <v>277777.77777777775</v>
      </c>
      <c r="F121" s="64">
        <f t="shared" si="12"/>
        <v>10249.614197530822</v>
      </c>
      <c r="G121" s="63">
        <f t="shared" si="10"/>
        <v>288027.39197530859</v>
      </c>
      <c r="H121" s="246">
        <v>31</v>
      </c>
      <c r="I121" s="48"/>
      <c r="J121" s="48"/>
    </row>
    <row r="122" spans="1:10">
      <c r="A122">
        <f t="shared" si="11"/>
        <v>107</v>
      </c>
      <c r="B122" s="229">
        <f t="shared" si="9"/>
        <v>49125</v>
      </c>
      <c r="C122" s="60"/>
      <c r="D122" s="64">
        <f t="shared" si="13"/>
        <v>1111111.1111111054</v>
      </c>
      <c r="E122" s="63"/>
      <c r="F122" s="64">
        <f t="shared" si="12"/>
        <v>9918.9814814814399</v>
      </c>
      <c r="G122" s="63">
        <f t="shared" si="10"/>
        <v>9918.9814814814399</v>
      </c>
      <c r="H122" s="246"/>
      <c r="I122" s="48"/>
      <c r="J122" s="48"/>
    </row>
    <row r="123" spans="1:10">
      <c r="A123">
        <f t="shared" si="11"/>
        <v>108</v>
      </c>
      <c r="B123" s="229">
        <f t="shared" si="9"/>
        <v>49156</v>
      </c>
      <c r="C123" s="60"/>
      <c r="D123" s="64">
        <f t="shared" si="13"/>
        <v>1111111.1111111054</v>
      </c>
      <c r="E123" s="63"/>
      <c r="F123" s="64">
        <f t="shared" si="12"/>
        <v>8199.6913580246492</v>
      </c>
      <c r="G123" s="63">
        <f t="shared" si="10"/>
        <v>8199.6913580246492</v>
      </c>
      <c r="H123" s="246"/>
      <c r="I123" s="48"/>
      <c r="J123" s="48"/>
    </row>
    <row r="124" spans="1:10">
      <c r="A124">
        <f t="shared" si="11"/>
        <v>109</v>
      </c>
      <c r="B124" s="229">
        <f t="shared" si="9"/>
        <v>49187</v>
      </c>
      <c r="C124" s="60"/>
      <c r="D124" s="64">
        <f t="shared" si="13"/>
        <v>1111111.1111111054</v>
      </c>
      <c r="E124" s="63">
        <f>E121</f>
        <v>277777.77777777775</v>
      </c>
      <c r="F124" s="64">
        <f t="shared" si="12"/>
        <v>8199.6913580246492</v>
      </c>
      <c r="G124" s="63">
        <f t="shared" si="10"/>
        <v>285977.46913580241</v>
      </c>
      <c r="H124" s="246">
        <v>32</v>
      </c>
      <c r="I124" s="48"/>
      <c r="J124" s="48"/>
    </row>
    <row r="125" spans="1:10">
      <c r="A125">
        <f t="shared" si="11"/>
        <v>110</v>
      </c>
      <c r="B125" s="229">
        <f t="shared" si="9"/>
        <v>49217</v>
      </c>
      <c r="C125" s="60"/>
      <c r="D125" s="64">
        <f t="shared" si="13"/>
        <v>833333.33333332767</v>
      </c>
      <c r="E125" s="63"/>
      <c r="F125" s="64">
        <f t="shared" si="12"/>
        <v>7935.1851851851434</v>
      </c>
      <c r="G125" s="63">
        <f t="shared" si="10"/>
        <v>7935.1851851851434</v>
      </c>
      <c r="H125" s="246"/>
      <c r="I125" s="48"/>
      <c r="J125" s="48"/>
    </row>
    <row r="126" spans="1:10">
      <c r="A126">
        <f t="shared" si="11"/>
        <v>111</v>
      </c>
      <c r="B126" s="229">
        <f t="shared" si="9"/>
        <v>49248</v>
      </c>
      <c r="C126" s="60"/>
      <c r="D126" s="64">
        <f t="shared" si="13"/>
        <v>833333.33333332767</v>
      </c>
      <c r="E126" s="63"/>
      <c r="F126" s="64">
        <f t="shared" si="12"/>
        <v>6149.7685185184764</v>
      </c>
      <c r="G126" s="63">
        <f t="shared" si="10"/>
        <v>6149.7685185184764</v>
      </c>
      <c r="H126" s="246"/>
      <c r="I126" s="48"/>
      <c r="J126" s="48"/>
    </row>
    <row r="127" spans="1:10">
      <c r="A127">
        <f t="shared" si="11"/>
        <v>112</v>
      </c>
      <c r="B127" s="229">
        <f t="shared" si="9"/>
        <v>49278</v>
      </c>
      <c r="C127" s="60"/>
      <c r="D127" s="64">
        <f t="shared" si="13"/>
        <v>833333.33333332767</v>
      </c>
      <c r="E127" s="63">
        <f>E124</f>
        <v>277777.77777777775</v>
      </c>
      <c r="F127" s="64">
        <f t="shared" si="12"/>
        <v>5951.3888888888478</v>
      </c>
      <c r="G127" s="63">
        <f t="shared" si="10"/>
        <v>283729.16666666663</v>
      </c>
      <c r="H127" s="246">
        <v>33</v>
      </c>
      <c r="I127" s="48"/>
      <c r="J127" s="48"/>
    </row>
    <row r="128" spans="1:10" s="230" customFormat="1">
      <c r="A128">
        <f t="shared" si="11"/>
        <v>113</v>
      </c>
      <c r="B128" s="231">
        <f t="shared" si="9"/>
        <v>49309</v>
      </c>
      <c r="C128" s="234"/>
      <c r="D128" s="233">
        <f t="shared" si="13"/>
        <v>555555.55555554992</v>
      </c>
      <c r="E128" s="232"/>
      <c r="F128" s="233">
        <f t="shared" si="12"/>
        <v>6149.7685185184764</v>
      </c>
      <c r="G128" s="232">
        <f t="shared" si="10"/>
        <v>6149.7685185184764</v>
      </c>
      <c r="H128" s="246"/>
      <c r="I128" s="53">
        <f>SUM(E117:E128)</f>
        <v>1111111.111111111</v>
      </c>
      <c r="J128" s="53">
        <f>SUM(F117:F128)</f>
        <v>108381.40432098716</v>
      </c>
    </row>
    <row r="129" spans="1:13">
      <c r="A129">
        <f t="shared" si="11"/>
        <v>114</v>
      </c>
      <c r="B129" s="229">
        <f t="shared" si="9"/>
        <v>49340</v>
      </c>
      <c r="C129" s="60"/>
      <c r="D129" s="64">
        <f t="shared" si="13"/>
        <v>555555.55555554992</v>
      </c>
      <c r="E129" s="63"/>
      <c r="F129" s="64">
        <f t="shared" si="12"/>
        <v>4099.8456790123037</v>
      </c>
      <c r="G129" s="63">
        <f t="shared" si="10"/>
        <v>4099.8456790123037</v>
      </c>
      <c r="H129" s="246"/>
      <c r="I129" s="48"/>
      <c r="J129" s="48"/>
    </row>
    <row r="130" spans="1:13">
      <c r="A130">
        <f t="shared" si="11"/>
        <v>115</v>
      </c>
      <c r="B130" s="229">
        <f t="shared" si="9"/>
        <v>49368</v>
      </c>
      <c r="C130" s="60"/>
      <c r="D130" s="64">
        <f t="shared" si="13"/>
        <v>555555.55555554992</v>
      </c>
      <c r="E130" s="63">
        <f>E127</f>
        <v>277777.77777777775</v>
      </c>
      <c r="F130" s="64">
        <f t="shared" si="12"/>
        <v>3703.0864197530486</v>
      </c>
      <c r="G130" s="63">
        <f t="shared" si="10"/>
        <v>281480.86419753078</v>
      </c>
      <c r="H130" s="246">
        <v>34</v>
      </c>
      <c r="I130" s="48"/>
      <c r="J130" s="48"/>
    </row>
    <row r="131" spans="1:13">
      <c r="A131">
        <f t="shared" si="11"/>
        <v>116</v>
      </c>
      <c r="B131" s="229">
        <f t="shared" si="9"/>
        <v>49399</v>
      </c>
      <c r="C131" s="60"/>
      <c r="D131" s="64">
        <f t="shared" si="13"/>
        <v>277777.77777777216</v>
      </c>
      <c r="E131" s="63"/>
      <c r="F131" s="64">
        <f t="shared" si="12"/>
        <v>4099.8456790123037</v>
      </c>
      <c r="G131" s="63">
        <f t="shared" si="10"/>
        <v>4099.8456790123037</v>
      </c>
      <c r="H131" s="246"/>
      <c r="I131" s="48"/>
      <c r="J131" s="48"/>
    </row>
    <row r="132" spans="1:13">
      <c r="A132">
        <f t="shared" si="11"/>
        <v>117</v>
      </c>
      <c r="B132" s="229">
        <f t="shared" si="9"/>
        <v>49429</v>
      </c>
      <c r="C132" s="60"/>
      <c r="D132" s="64">
        <f t="shared" si="13"/>
        <v>277777.77777777216</v>
      </c>
      <c r="E132" s="63"/>
      <c r="F132" s="64">
        <f t="shared" si="12"/>
        <v>1983.7962962962561</v>
      </c>
      <c r="G132" s="63">
        <f t="shared" si="10"/>
        <v>1983.7962962962561</v>
      </c>
      <c r="H132" s="246"/>
      <c r="I132" s="48"/>
      <c r="J132" s="48"/>
    </row>
    <row r="133" spans="1:13">
      <c r="A133">
        <f t="shared" si="11"/>
        <v>118</v>
      </c>
      <c r="B133" s="229">
        <f t="shared" si="9"/>
        <v>49460</v>
      </c>
      <c r="C133" s="60"/>
      <c r="D133" s="64">
        <f t="shared" si="13"/>
        <v>277777.77777777216</v>
      </c>
      <c r="E133" s="63">
        <f>E130</f>
        <v>277777.77777777775</v>
      </c>
      <c r="F133" s="64">
        <f t="shared" si="12"/>
        <v>2049.9228395061314</v>
      </c>
      <c r="G133" s="63">
        <f t="shared" si="10"/>
        <v>279827.70061728387</v>
      </c>
      <c r="H133" s="246">
        <v>35</v>
      </c>
      <c r="I133" s="48">
        <f>SUM(E129:E133)</f>
        <v>555555.5555555555</v>
      </c>
      <c r="J133" s="48">
        <f>SUM(F129:F133)</f>
        <v>15936.496913580042</v>
      </c>
    </row>
    <row r="134" spans="1:13">
      <c r="B134" s="239" t="s">
        <v>32</v>
      </c>
      <c r="C134" s="240">
        <f>SUM(C9:C133)</f>
        <v>10000000</v>
      </c>
      <c r="D134" s="239"/>
      <c r="E134" s="241">
        <f>SUM(E28:E133)</f>
        <v>10000000.000000006</v>
      </c>
      <c r="F134" s="241">
        <f>SUM(F14:F133)</f>
        <v>4740413.5030864161</v>
      </c>
      <c r="G134" s="241">
        <f>SUM(G14:G133)</f>
        <v>14740413.503086422</v>
      </c>
      <c r="I134" s="48"/>
      <c r="J134" s="48"/>
      <c r="M134">
        <f>144-20</f>
        <v>124</v>
      </c>
    </row>
    <row r="135" spans="1:13">
      <c r="I135" s="52">
        <f>SUM(I20:I134)</f>
        <v>10000000</v>
      </c>
      <c r="J135" s="52">
        <f>SUM(J20:J134)</f>
        <v>4740413.503086417</v>
      </c>
    </row>
    <row r="139" spans="1:13">
      <c r="I139">
        <f>700000/14</f>
        <v>50000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2B16-C923-457A-8097-F6EE3AF24745}">
  <dimension ref="A1:X167"/>
  <sheetViews>
    <sheetView topLeftCell="A139" workbookViewId="0">
      <selection activeCell="J159" sqref="J159"/>
    </sheetView>
  </sheetViews>
  <sheetFormatPr defaultRowHeight="14.4"/>
  <cols>
    <col min="1" max="1" width="4" bestFit="1" customWidth="1"/>
    <col min="2" max="2" width="9.88671875" bestFit="1" customWidth="1"/>
    <col min="3" max="3" width="14" bestFit="1" customWidth="1"/>
    <col min="4" max="4" width="17" customWidth="1"/>
    <col min="5" max="5" width="13.88671875" customWidth="1"/>
    <col min="6" max="6" width="14.33203125" bestFit="1" customWidth="1"/>
    <col min="7" max="7" width="14.109375" bestFit="1" customWidth="1"/>
    <col min="9" max="10" width="14.33203125" bestFit="1" customWidth="1"/>
    <col min="11" max="12" width="13.33203125" bestFit="1" customWidth="1"/>
    <col min="13" max="13" width="14.33203125" bestFit="1" customWidth="1"/>
    <col min="14" max="21" width="13.33203125" bestFit="1" customWidth="1"/>
    <col min="22" max="22" width="12.5546875" bestFit="1" customWidth="1"/>
    <col min="24" max="24" width="14.33203125" bestFit="1" customWidth="1"/>
  </cols>
  <sheetData>
    <row r="1" spans="1:24">
      <c r="C1" s="226" t="s">
        <v>82</v>
      </c>
    </row>
    <row r="3" spans="1:24">
      <c r="B3" s="226" t="s">
        <v>131</v>
      </c>
      <c r="C3" s="226"/>
      <c r="D3" s="227">
        <v>22000000</v>
      </c>
      <c r="E3" s="226" t="s">
        <v>62</v>
      </c>
      <c r="F3" s="226"/>
      <c r="G3" s="226"/>
    </row>
    <row r="4" spans="1:24">
      <c r="B4" t="s">
        <v>13</v>
      </c>
      <c r="D4" s="212">
        <f>D5+D6</f>
        <v>7.6799999999999993E-2</v>
      </c>
      <c r="E4" s="52"/>
    </row>
    <row r="5" spans="1:24">
      <c r="B5" t="s">
        <v>132</v>
      </c>
      <c r="D5" s="212">
        <f>'credit nou fd UE 7.5 mio'!D5</f>
        <v>5.7799999999999997E-2</v>
      </c>
      <c r="E5" s="52"/>
    </row>
    <row r="6" spans="1:24">
      <c r="B6" t="s">
        <v>28</v>
      </c>
      <c r="D6" s="212">
        <v>1.9E-2</v>
      </c>
      <c r="J6">
        <v>2026</v>
      </c>
      <c r="K6">
        <f>J6+1</f>
        <v>2027</v>
      </c>
      <c r="L6">
        <f t="shared" ref="L6:V6" si="0">K6+1</f>
        <v>2028</v>
      </c>
      <c r="M6">
        <f t="shared" si="0"/>
        <v>2029</v>
      </c>
      <c r="N6">
        <f t="shared" si="0"/>
        <v>2030</v>
      </c>
      <c r="O6">
        <f t="shared" si="0"/>
        <v>2031</v>
      </c>
      <c r="P6">
        <f t="shared" si="0"/>
        <v>2032</v>
      </c>
      <c r="Q6">
        <f t="shared" si="0"/>
        <v>2033</v>
      </c>
      <c r="R6">
        <f t="shared" si="0"/>
        <v>2034</v>
      </c>
      <c r="S6">
        <f t="shared" si="0"/>
        <v>2035</v>
      </c>
      <c r="T6">
        <f t="shared" si="0"/>
        <v>2036</v>
      </c>
      <c r="U6">
        <f t="shared" si="0"/>
        <v>2037</v>
      </c>
      <c r="V6">
        <f t="shared" si="0"/>
        <v>2038</v>
      </c>
    </row>
    <row r="7" spans="1:24">
      <c r="E7" s="52"/>
      <c r="K7" s="48">
        <f>I34</f>
        <v>60000</v>
      </c>
      <c r="L7" s="48">
        <f>I46</f>
        <v>240000</v>
      </c>
      <c r="M7" s="48">
        <f>I58</f>
        <v>240000</v>
      </c>
      <c r="N7" s="48">
        <f>I70</f>
        <v>360000</v>
      </c>
      <c r="O7" s="48">
        <f>I82</f>
        <v>360000</v>
      </c>
      <c r="P7" s="48">
        <f>I94</f>
        <v>1680000</v>
      </c>
      <c r="Q7" s="48">
        <f>I106</f>
        <v>3300000</v>
      </c>
      <c r="R7" s="48">
        <f>I118</f>
        <v>3300000</v>
      </c>
      <c r="S7" s="48">
        <f>I130</f>
        <v>3300000</v>
      </c>
      <c r="T7" s="48">
        <f>I142</f>
        <v>4080000</v>
      </c>
      <c r="U7" s="48">
        <f>I154</f>
        <v>4080000</v>
      </c>
      <c r="V7" s="52">
        <f>I156</f>
        <v>1000000</v>
      </c>
      <c r="X7" s="52">
        <f>SUM(K7:W7)</f>
        <v>22000000</v>
      </c>
    </row>
    <row r="8" spans="1:24">
      <c r="B8" s="228" t="s">
        <v>75</v>
      </c>
      <c r="C8" s="228" t="s">
        <v>133</v>
      </c>
      <c r="D8" s="228" t="s">
        <v>29</v>
      </c>
      <c r="E8" s="228" t="s">
        <v>77</v>
      </c>
      <c r="F8" s="228" t="s">
        <v>13</v>
      </c>
      <c r="G8" s="228" t="s">
        <v>32</v>
      </c>
      <c r="J8" s="52">
        <f>J21</f>
        <v>35199.999999999993</v>
      </c>
      <c r="K8" s="48">
        <f>J34</f>
        <v>751974.39999999991</v>
      </c>
      <c r="L8" s="48">
        <f>J46</f>
        <v>1706026.6666666665</v>
      </c>
      <c r="M8" s="48">
        <f>J58</f>
        <v>1682658.1333333333</v>
      </c>
      <c r="N8" s="48">
        <f>J70</f>
        <v>1660379.7333333332</v>
      </c>
      <c r="O8" s="48">
        <f>J82</f>
        <v>1632413.8666666665</v>
      </c>
      <c r="P8" s="48">
        <f>J94</f>
        <v>1569312</v>
      </c>
      <c r="Q8" s="48">
        <f>J106</f>
        <v>1386328.5333333332</v>
      </c>
      <c r="R8" s="48">
        <f>J118</f>
        <v>1130261.3333333333</v>
      </c>
      <c r="S8" s="48">
        <f>J130</f>
        <v>873301.33333333337</v>
      </c>
      <c r="T8" s="48">
        <f>J142</f>
        <v>594957.8666666667</v>
      </c>
      <c r="U8" s="48">
        <f>J154</f>
        <v>275737.60000000003</v>
      </c>
      <c r="V8" s="52">
        <f>J156</f>
        <v>19199.999999999996</v>
      </c>
      <c r="X8" s="52">
        <f>SUM(J8:W8)</f>
        <v>13317751.466666667</v>
      </c>
    </row>
    <row r="9" spans="1:24">
      <c r="B9" s="229">
        <v>46053</v>
      </c>
      <c r="C9" s="64"/>
      <c r="D9" s="64">
        <v>0</v>
      </c>
      <c r="E9" s="60"/>
      <c r="F9" s="64"/>
      <c r="G9" s="63"/>
      <c r="J9" s="52">
        <v>18000</v>
      </c>
    </row>
    <row r="10" spans="1:24">
      <c r="B10" s="229">
        <f t="shared" ref="B10:B75" si="1">EOMONTH(B9,1)</f>
        <v>46081</v>
      </c>
      <c r="C10" s="60"/>
      <c r="D10" s="64">
        <f t="shared" ref="D10:D19" si="2">D9+C10</f>
        <v>0</v>
      </c>
      <c r="E10" s="60"/>
      <c r="F10" s="64">
        <f t="shared" ref="F10:F19" si="3">(B10-B9)*$D$4*D9/360</f>
        <v>0</v>
      </c>
      <c r="G10" s="63">
        <f t="shared" ref="G10:G75" si="4">E10+F10</f>
        <v>0</v>
      </c>
    </row>
    <row r="11" spans="1:24">
      <c r="B11" s="229">
        <f t="shared" si="1"/>
        <v>46112</v>
      </c>
      <c r="C11" s="60"/>
      <c r="D11" s="64">
        <f t="shared" si="2"/>
        <v>0</v>
      </c>
      <c r="E11" s="60"/>
      <c r="F11" s="64">
        <f t="shared" si="3"/>
        <v>0</v>
      </c>
      <c r="G11" s="63">
        <f t="shared" si="4"/>
        <v>0</v>
      </c>
    </row>
    <row r="12" spans="1:24">
      <c r="A12">
        <v>1</v>
      </c>
      <c r="B12" s="229">
        <f t="shared" si="1"/>
        <v>46142</v>
      </c>
      <c r="C12" s="64"/>
      <c r="D12" s="64">
        <f t="shared" si="2"/>
        <v>0</v>
      </c>
      <c r="E12" s="60"/>
      <c r="F12" s="64">
        <f t="shared" si="3"/>
        <v>0</v>
      </c>
      <c r="G12" s="63">
        <f t="shared" si="4"/>
        <v>0</v>
      </c>
    </row>
    <row r="13" spans="1:24">
      <c r="A13">
        <f t="shared" ref="A13:A78" si="5">A12+1</f>
        <v>2</v>
      </c>
      <c r="B13" s="229">
        <f t="shared" si="1"/>
        <v>46173</v>
      </c>
      <c r="C13" s="60"/>
      <c r="D13" s="64">
        <f t="shared" si="2"/>
        <v>0</v>
      </c>
      <c r="E13" s="60"/>
      <c r="F13" s="64"/>
      <c r="G13" s="63">
        <f t="shared" si="4"/>
        <v>0</v>
      </c>
    </row>
    <row r="14" spans="1:24">
      <c r="A14">
        <f t="shared" si="5"/>
        <v>3</v>
      </c>
      <c r="B14" s="229">
        <f t="shared" si="1"/>
        <v>46203</v>
      </c>
      <c r="C14" s="64"/>
      <c r="D14" s="64">
        <f t="shared" si="2"/>
        <v>0</v>
      </c>
      <c r="E14" s="60"/>
      <c r="F14" s="64">
        <f t="shared" si="3"/>
        <v>0</v>
      </c>
      <c r="G14" s="63">
        <f t="shared" si="4"/>
        <v>0</v>
      </c>
    </row>
    <row r="15" spans="1:24">
      <c r="A15">
        <f t="shared" si="5"/>
        <v>4</v>
      </c>
      <c r="B15" s="229">
        <f t="shared" si="1"/>
        <v>46234</v>
      </c>
      <c r="C15" s="60"/>
      <c r="D15" s="64">
        <f t="shared" si="2"/>
        <v>0</v>
      </c>
      <c r="E15" s="60"/>
      <c r="F15" s="64">
        <f t="shared" si="3"/>
        <v>0</v>
      </c>
      <c r="G15" s="63">
        <f t="shared" si="4"/>
        <v>0</v>
      </c>
    </row>
    <row r="16" spans="1:24">
      <c r="A16">
        <f t="shared" si="5"/>
        <v>5</v>
      </c>
      <c r="B16" s="229">
        <f t="shared" si="1"/>
        <v>46265</v>
      </c>
      <c r="C16" s="63"/>
      <c r="D16" s="64">
        <f t="shared" si="2"/>
        <v>0</v>
      </c>
      <c r="E16" s="60"/>
      <c r="F16" s="64">
        <f t="shared" si="3"/>
        <v>0</v>
      </c>
      <c r="G16" s="63">
        <f t="shared" si="4"/>
        <v>0</v>
      </c>
    </row>
    <row r="17" spans="1:10">
      <c r="A17">
        <f t="shared" si="5"/>
        <v>6</v>
      </c>
      <c r="B17" s="229">
        <f t="shared" si="1"/>
        <v>46295</v>
      </c>
      <c r="C17" s="64"/>
      <c r="D17" s="64">
        <f t="shared" si="2"/>
        <v>0</v>
      </c>
      <c r="E17" s="60"/>
      <c r="F17" s="64">
        <f t="shared" si="3"/>
        <v>0</v>
      </c>
      <c r="G17" s="63">
        <f t="shared" si="4"/>
        <v>0</v>
      </c>
    </row>
    <row r="18" spans="1:10">
      <c r="A18">
        <f t="shared" si="5"/>
        <v>7</v>
      </c>
      <c r="B18" s="229">
        <f t="shared" si="1"/>
        <v>46326</v>
      </c>
      <c r="C18" s="64"/>
      <c r="D18" s="64">
        <f t="shared" si="2"/>
        <v>0</v>
      </c>
      <c r="E18" s="60"/>
      <c r="F18" s="64">
        <f t="shared" si="3"/>
        <v>0</v>
      </c>
      <c r="G18" s="63">
        <f t="shared" si="4"/>
        <v>0</v>
      </c>
    </row>
    <row r="19" spans="1:10">
      <c r="A19">
        <f t="shared" si="5"/>
        <v>8</v>
      </c>
      <c r="B19" s="229">
        <f t="shared" si="1"/>
        <v>46356</v>
      </c>
      <c r="C19" s="63"/>
      <c r="D19" s="64">
        <f t="shared" si="2"/>
        <v>0</v>
      </c>
      <c r="E19" s="60"/>
      <c r="F19" s="64">
        <f t="shared" si="3"/>
        <v>0</v>
      </c>
      <c r="G19" s="63">
        <f t="shared" si="4"/>
        <v>0</v>
      </c>
    </row>
    <row r="20" spans="1:10">
      <c r="A20">
        <v>9</v>
      </c>
      <c r="B20" s="229">
        <v>46357</v>
      </c>
      <c r="C20" s="63">
        <f>0.25*D3</f>
        <v>5500000</v>
      </c>
      <c r="D20" s="64">
        <f>C20</f>
        <v>5500000</v>
      </c>
      <c r="E20" s="60"/>
      <c r="F20" s="64"/>
      <c r="G20" s="63"/>
    </row>
    <row r="21" spans="1:10" s="230" customFormat="1">
      <c r="A21">
        <f>A19+1</f>
        <v>9</v>
      </c>
      <c r="B21" s="231">
        <f>EOMONTH(B19,1)</f>
        <v>46387</v>
      </c>
      <c r="C21" s="232"/>
      <c r="D21" s="233">
        <f>D19+C20</f>
        <v>5500000</v>
      </c>
      <c r="E21" s="234"/>
      <c r="F21" s="233">
        <f>(B21-B20)*D20*D4/360</f>
        <v>35199.999999999993</v>
      </c>
      <c r="G21" s="232">
        <f t="shared" si="4"/>
        <v>35199.999999999993</v>
      </c>
      <c r="I21" s="230">
        <f>SUM(E9:E21)</f>
        <v>0</v>
      </c>
      <c r="J21" s="238">
        <f>SUM(F9:F21)</f>
        <v>35199.999999999993</v>
      </c>
    </row>
    <row r="22" spans="1:10">
      <c r="A22">
        <f t="shared" si="5"/>
        <v>10</v>
      </c>
      <c r="B22" s="229">
        <f t="shared" si="1"/>
        <v>46418</v>
      </c>
      <c r="C22" s="60"/>
      <c r="D22" s="64">
        <f t="shared" ref="D22:D28" si="6">D21+C22</f>
        <v>5500000</v>
      </c>
      <c r="E22" s="63"/>
      <c r="F22" s="64">
        <f>(B22-B21)*$D$4*D21/360</f>
        <v>36373.333333333328</v>
      </c>
      <c r="G22" s="63">
        <f t="shared" si="4"/>
        <v>36373.333333333328</v>
      </c>
    </row>
    <row r="23" spans="1:10">
      <c r="A23">
        <f t="shared" si="5"/>
        <v>11</v>
      </c>
      <c r="B23" s="229">
        <f t="shared" si="1"/>
        <v>46446</v>
      </c>
      <c r="C23" s="60"/>
      <c r="D23" s="64">
        <f t="shared" si="6"/>
        <v>5500000</v>
      </c>
      <c r="E23" s="64"/>
      <c r="F23" s="64">
        <f>(B23-B22)*$D$4*D22/360</f>
        <v>32853.333333333336</v>
      </c>
      <c r="G23" s="63">
        <f t="shared" si="4"/>
        <v>32853.333333333336</v>
      </c>
    </row>
    <row r="24" spans="1:10">
      <c r="A24">
        <f t="shared" si="5"/>
        <v>12</v>
      </c>
      <c r="B24" s="229">
        <f t="shared" si="1"/>
        <v>46477</v>
      </c>
      <c r="C24" s="63"/>
      <c r="D24" s="64">
        <f t="shared" si="6"/>
        <v>5500000</v>
      </c>
      <c r="E24" s="63"/>
      <c r="F24" s="64">
        <f t="shared" ref="F24:F88" si="7">(B24-B23)*$D$4*D23/360</f>
        <v>36373.333333333328</v>
      </c>
      <c r="G24" s="63">
        <f t="shared" si="4"/>
        <v>36373.333333333328</v>
      </c>
    </row>
    <row r="25" spans="1:10">
      <c r="A25">
        <f t="shared" si="5"/>
        <v>13</v>
      </c>
      <c r="B25" s="229">
        <f t="shared" si="1"/>
        <v>46507</v>
      </c>
      <c r="C25" s="60"/>
      <c r="D25" s="64">
        <f t="shared" si="6"/>
        <v>5500000</v>
      </c>
      <c r="E25" s="63"/>
      <c r="F25" s="64">
        <f t="shared" si="7"/>
        <v>35199.999999999993</v>
      </c>
      <c r="G25" s="63">
        <f t="shared" si="4"/>
        <v>35199.999999999993</v>
      </c>
    </row>
    <row r="26" spans="1:10">
      <c r="A26">
        <f t="shared" si="5"/>
        <v>14</v>
      </c>
      <c r="B26" s="229">
        <f t="shared" si="1"/>
        <v>46538</v>
      </c>
      <c r="C26" s="60"/>
      <c r="D26" s="64">
        <f t="shared" si="6"/>
        <v>5500000</v>
      </c>
      <c r="E26" s="63"/>
      <c r="F26" s="64">
        <f t="shared" si="7"/>
        <v>36373.333333333328</v>
      </c>
      <c r="G26" s="63">
        <f t="shared" si="4"/>
        <v>36373.333333333328</v>
      </c>
    </row>
    <row r="27" spans="1:10">
      <c r="A27">
        <f t="shared" si="5"/>
        <v>15</v>
      </c>
      <c r="B27" s="229">
        <f t="shared" si="1"/>
        <v>46568</v>
      </c>
      <c r="C27" s="64">
        <v>0</v>
      </c>
      <c r="D27" s="64">
        <f t="shared" si="6"/>
        <v>5500000</v>
      </c>
      <c r="E27" s="63"/>
      <c r="F27" s="64">
        <f t="shared" si="7"/>
        <v>35199.999999999993</v>
      </c>
      <c r="G27" s="63">
        <f t="shared" si="4"/>
        <v>35199.999999999993</v>
      </c>
    </row>
    <row r="28" spans="1:10">
      <c r="A28">
        <f t="shared" si="5"/>
        <v>16</v>
      </c>
      <c r="B28" s="229">
        <f t="shared" si="1"/>
        <v>46599</v>
      </c>
      <c r="C28" s="60"/>
      <c r="D28" s="64">
        <f t="shared" si="6"/>
        <v>5500000</v>
      </c>
      <c r="E28" s="63"/>
      <c r="F28" s="64">
        <f t="shared" si="7"/>
        <v>36373.333333333328</v>
      </c>
      <c r="G28" s="63">
        <f t="shared" si="4"/>
        <v>36373.333333333328</v>
      </c>
    </row>
    <row r="29" spans="1:10">
      <c r="A29">
        <f t="shared" si="5"/>
        <v>17</v>
      </c>
      <c r="B29" s="229">
        <f t="shared" si="1"/>
        <v>46630</v>
      </c>
      <c r="C29" s="63"/>
      <c r="D29" s="64">
        <f>D28+C29</f>
        <v>5500000</v>
      </c>
      <c r="E29" s="63"/>
      <c r="F29" s="64">
        <f>(B29-B28)*$D$4*D28/360</f>
        <v>36373.333333333328</v>
      </c>
      <c r="G29" s="63">
        <f t="shared" si="4"/>
        <v>36373.333333333328</v>
      </c>
    </row>
    <row r="30" spans="1:10">
      <c r="A30">
        <v>18</v>
      </c>
      <c r="B30" s="229">
        <v>46631</v>
      </c>
      <c r="C30" s="63">
        <f>0.75*D3</f>
        <v>16500000</v>
      </c>
      <c r="D30" s="64">
        <f>D29+C30</f>
        <v>22000000</v>
      </c>
      <c r="E30" s="63"/>
      <c r="F30" s="64">
        <f>(B30-B29)*$D$4*D29/360</f>
        <v>1173.3333333333333</v>
      </c>
      <c r="G30" s="63"/>
    </row>
    <row r="31" spans="1:10" s="246" customFormat="1">
      <c r="A31">
        <f>A29+1</f>
        <v>18</v>
      </c>
      <c r="B31" s="247">
        <f>EOMONTH(B29,1)</f>
        <v>46660</v>
      </c>
      <c r="C31" s="249"/>
      <c r="D31" s="253">
        <f>D30</f>
        <v>22000000</v>
      </c>
      <c r="E31" s="249"/>
      <c r="F31" s="248">
        <f>(B31-B30)*$D$4*D29/360</f>
        <v>34026.666666666664</v>
      </c>
      <c r="G31" s="249">
        <f t="shared" si="4"/>
        <v>34026.666666666664</v>
      </c>
    </row>
    <row r="32" spans="1:10" s="250" customFormat="1">
      <c r="A32">
        <f t="shared" si="5"/>
        <v>19</v>
      </c>
      <c r="B32" s="251">
        <f t="shared" si="1"/>
        <v>46691</v>
      </c>
      <c r="C32" s="252"/>
      <c r="D32" s="248">
        <f t="shared" ref="D32:D95" si="8">D31-E31</f>
        <v>22000000</v>
      </c>
      <c r="E32" s="254">
        <v>20000</v>
      </c>
      <c r="F32" s="253">
        <f>(B32-B31)*$D$4*D31/360</f>
        <v>145493.33333333331</v>
      </c>
      <c r="G32" s="254">
        <f t="shared" si="4"/>
        <v>165493.33333333331</v>
      </c>
    </row>
    <row r="33" spans="1:10">
      <c r="A33">
        <f t="shared" si="5"/>
        <v>20</v>
      </c>
      <c r="B33" s="229">
        <f t="shared" si="1"/>
        <v>46721</v>
      </c>
      <c r="C33" s="60"/>
      <c r="D33" s="64">
        <f t="shared" si="8"/>
        <v>21980000</v>
      </c>
      <c r="E33" s="63">
        <f t="shared" ref="E33:E96" si="9">E32</f>
        <v>20000</v>
      </c>
      <c r="F33" s="64">
        <f t="shared" si="7"/>
        <v>140799.99999999997</v>
      </c>
      <c r="G33" s="63">
        <f t="shared" si="4"/>
        <v>160799.99999999997</v>
      </c>
      <c r="H33">
        <v>1</v>
      </c>
    </row>
    <row r="34" spans="1:10" s="230" customFormat="1">
      <c r="A34">
        <f t="shared" si="5"/>
        <v>21</v>
      </c>
      <c r="B34" s="231">
        <f t="shared" si="1"/>
        <v>46752</v>
      </c>
      <c r="C34" s="234"/>
      <c r="D34" s="233">
        <f t="shared" si="8"/>
        <v>21960000</v>
      </c>
      <c r="E34" s="232">
        <f t="shared" si="9"/>
        <v>20000</v>
      </c>
      <c r="F34" s="233">
        <f t="shared" si="7"/>
        <v>145361.06666666665</v>
      </c>
      <c r="G34" s="232">
        <f t="shared" si="4"/>
        <v>165361.06666666665</v>
      </c>
      <c r="H34" s="230">
        <f>H33+1</f>
        <v>2</v>
      </c>
      <c r="I34" s="53">
        <f>SUM(E22:E34)</f>
        <v>60000</v>
      </c>
      <c r="J34" s="53">
        <f>SUM(F22:F34)</f>
        <v>751974.39999999991</v>
      </c>
    </row>
    <row r="35" spans="1:10">
      <c r="A35">
        <f t="shared" si="5"/>
        <v>22</v>
      </c>
      <c r="B35" s="229">
        <f t="shared" si="1"/>
        <v>46783</v>
      </c>
      <c r="C35" s="60"/>
      <c r="D35" s="64">
        <f t="shared" si="8"/>
        <v>21940000</v>
      </c>
      <c r="E35" s="63">
        <f t="shared" si="9"/>
        <v>20000</v>
      </c>
      <c r="F35" s="64">
        <f t="shared" si="7"/>
        <v>145228.79999999999</v>
      </c>
      <c r="G35" s="63">
        <f t="shared" si="4"/>
        <v>165228.79999999999</v>
      </c>
      <c r="H35">
        <f t="shared" ref="H35:H98" si="10">H34+1</f>
        <v>3</v>
      </c>
      <c r="I35" s="48"/>
      <c r="J35" s="48"/>
    </row>
    <row r="36" spans="1:10">
      <c r="A36">
        <f t="shared" si="5"/>
        <v>23</v>
      </c>
      <c r="B36" s="229">
        <f t="shared" si="1"/>
        <v>46812</v>
      </c>
      <c r="C36" s="60"/>
      <c r="D36" s="64">
        <f t="shared" si="8"/>
        <v>21920000</v>
      </c>
      <c r="E36" s="63">
        <f t="shared" si="9"/>
        <v>20000</v>
      </c>
      <c r="F36" s="64">
        <f t="shared" si="7"/>
        <v>135735.46666666667</v>
      </c>
      <c r="G36" s="63">
        <f t="shared" si="4"/>
        <v>155735.46666666667</v>
      </c>
      <c r="H36">
        <f t="shared" si="10"/>
        <v>4</v>
      </c>
      <c r="I36" s="48"/>
      <c r="J36" s="48"/>
    </row>
    <row r="37" spans="1:10">
      <c r="A37">
        <f t="shared" si="5"/>
        <v>24</v>
      </c>
      <c r="B37" s="229">
        <f t="shared" si="1"/>
        <v>46843</v>
      </c>
      <c r="C37" s="60"/>
      <c r="D37" s="64">
        <f t="shared" si="8"/>
        <v>21900000</v>
      </c>
      <c r="E37" s="63">
        <f t="shared" si="9"/>
        <v>20000</v>
      </c>
      <c r="F37" s="64">
        <f t="shared" si="7"/>
        <v>144964.26666666663</v>
      </c>
      <c r="G37" s="63">
        <f t="shared" si="4"/>
        <v>164964.26666666663</v>
      </c>
      <c r="H37">
        <f t="shared" si="10"/>
        <v>5</v>
      </c>
      <c r="I37" s="48"/>
      <c r="J37" s="48"/>
    </row>
    <row r="38" spans="1:10">
      <c r="A38">
        <f t="shared" si="5"/>
        <v>25</v>
      </c>
      <c r="B38" s="229">
        <f t="shared" si="1"/>
        <v>46873</v>
      </c>
      <c r="C38" s="60"/>
      <c r="D38" s="64">
        <f t="shared" si="8"/>
        <v>21880000</v>
      </c>
      <c r="E38" s="63">
        <f t="shared" si="9"/>
        <v>20000</v>
      </c>
      <c r="F38" s="64">
        <f t="shared" si="7"/>
        <v>140159.99999999997</v>
      </c>
      <c r="G38" s="63">
        <f t="shared" si="4"/>
        <v>160159.99999999997</v>
      </c>
      <c r="H38">
        <f t="shared" si="10"/>
        <v>6</v>
      </c>
      <c r="I38" s="48"/>
      <c r="J38" s="48"/>
    </row>
    <row r="39" spans="1:10">
      <c r="A39">
        <f t="shared" si="5"/>
        <v>26</v>
      </c>
      <c r="B39" s="229">
        <f t="shared" si="1"/>
        <v>46904</v>
      </c>
      <c r="C39" s="60"/>
      <c r="D39" s="64">
        <f t="shared" si="8"/>
        <v>21860000</v>
      </c>
      <c r="E39" s="63">
        <f t="shared" si="9"/>
        <v>20000</v>
      </c>
      <c r="F39" s="64">
        <f t="shared" si="7"/>
        <v>144699.73333333331</v>
      </c>
      <c r="G39" s="63">
        <f t="shared" si="4"/>
        <v>164699.73333333331</v>
      </c>
      <c r="H39">
        <f t="shared" si="10"/>
        <v>7</v>
      </c>
      <c r="I39" s="48"/>
      <c r="J39" s="48"/>
    </row>
    <row r="40" spans="1:10">
      <c r="A40">
        <f t="shared" si="5"/>
        <v>27</v>
      </c>
      <c r="B40" s="229">
        <f t="shared" si="1"/>
        <v>46934</v>
      </c>
      <c r="C40" s="60"/>
      <c r="D40" s="64">
        <f t="shared" si="8"/>
        <v>21840000</v>
      </c>
      <c r="E40" s="63">
        <f t="shared" si="9"/>
        <v>20000</v>
      </c>
      <c r="F40" s="64">
        <f t="shared" si="7"/>
        <v>139903.99999999997</v>
      </c>
      <c r="G40" s="63">
        <f t="shared" si="4"/>
        <v>159903.99999999997</v>
      </c>
      <c r="H40">
        <f t="shared" si="10"/>
        <v>8</v>
      </c>
      <c r="I40" s="48"/>
      <c r="J40" s="48"/>
    </row>
    <row r="41" spans="1:10">
      <c r="A41">
        <f t="shared" si="5"/>
        <v>28</v>
      </c>
      <c r="B41" s="229">
        <f t="shared" si="1"/>
        <v>46965</v>
      </c>
      <c r="C41" s="60"/>
      <c r="D41" s="64">
        <f t="shared" si="8"/>
        <v>21820000</v>
      </c>
      <c r="E41" s="63">
        <f t="shared" si="9"/>
        <v>20000</v>
      </c>
      <c r="F41" s="64">
        <f t="shared" si="7"/>
        <v>144435.19999999998</v>
      </c>
      <c r="G41" s="63">
        <f t="shared" si="4"/>
        <v>164435.19999999998</v>
      </c>
      <c r="H41">
        <f t="shared" si="10"/>
        <v>9</v>
      </c>
      <c r="I41" s="48"/>
      <c r="J41" s="48"/>
    </row>
    <row r="42" spans="1:10">
      <c r="A42">
        <f t="shared" si="5"/>
        <v>29</v>
      </c>
      <c r="B42" s="229">
        <f t="shared" si="1"/>
        <v>46996</v>
      </c>
      <c r="C42" s="60"/>
      <c r="D42" s="64">
        <f t="shared" si="8"/>
        <v>21800000</v>
      </c>
      <c r="E42" s="63">
        <f t="shared" si="9"/>
        <v>20000</v>
      </c>
      <c r="F42" s="64">
        <f t="shared" si="7"/>
        <v>144302.93333333332</v>
      </c>
      <c r="G42" s="63">
        <f t="shared" si="4"/>
        <v>164302.93333333332</v>
      </c>
      <c r="H42">
        <f t="shared" si="10"/>
        <v>10</v>
      </c>
      <c r="I42" s="48"/>
      <c r="J42" s="48"/>
    </row>
    <row r="43" spans="1:10">
      <c r="A43">
        <f t="shared" si="5"/>
        <v>30</v>
      </c>
      <c r="B43" s="229">
        <f t="shared" si="1"/>
        <v>47026</v>
      </c>
      <c r="C43" s="60"/>
      <c r="D43" s="64">
        <f t="shared" si="8"/>
        <v>21780000</v>
      </c>
      <c r="E43" s="63">
        <f t="shared" si="9"/>
        <v>20000</v>
      </c>
      <c r="F43" s="64">
        <f t="shared" si="7"/>
        <v>139519.99999999997</v>
      </c>
      <c r="G43" s="63">
        <f t="shared" si="4"/>
        <v>159519.99999999997</v>
      </c>
      <c r="H43">
        <f t="shared" si="10"/>
        <v>11</v>
      </c>
      <c r="I43" s="48"/>
      <c r="J43" s="48"/>
    </row>
    <row r="44" spans="1:10">
      <c r="A44">
        <f t="shared" si="5"/>
        <v>31</v>
      </c>
      <c r="B44" s="229">
        <f t="shared" si="1"/>
        <v>47057</v>
      </c>
      <c r="C44" s="60"/>
      <c r="D44" s="64">
        <f t="shared" si="8"/>
        <v>21760000</v>
      </c>
      <c r="E44" s="63">
        <f t="shared" si="9"/>
        <v>20000</v>
      </c>
      <c r="F44" s="64">
        <f t="shared" si="7"/>
        <v>144038.39999999997</v>
      </c>
      <c r="G44" s="63">
        <f t="shared" si="4"/>
        <v>164038.39999999997</v>
      </c>
      <c r="H44">
        <f t="shared" si="10"/>
        <v>12</v>
      </c>
      <c r="I44" s="48"/>
      <c r="J44" s="48"/>
    </row>
    <row r="45" spans="1:10">
      <c r="A45">
        <f t="shared" si="5"/>
        <v>32</v>
      </c>
      <c r="B45" s="229">
        <f t="shared" si="1"/>
        <v>47087</v>
      </c>
      <c r="C45" s="60"/>
      <c r="D45" s="64">
        <f t="shared" si="8"/>
        <v>21740000</v>
      </c>
      <c r="E45" s="63">
        <f t="shared" si="9"/>
        <v>20000</v>
      </c>
      <c r="F45" s="64">
        <f t="shared" si="7"/>
        <v>139263.99999999997</v>
      </c>
      <c r="G45" s="63">
        <f t="shared" si="4"/>
        <v>159263.99999999997</v>
      </c>
      <c r="H45">
        <f t="shared" si="10"/>
        <v>13</v>
      </c>
      <c r="I45" s="48"/>
      <c r="J45" s="48"/>
    </row>
    <row r="46" spans="1:10" s="230" customFormat="1">
      <c r="A46">
        <f t="shared" si="5"/>
        <v>33</v>
      </c>
      <c r="B46" s="231">
        <f t="shared" si="1"/>
        <v>47118</v>
      </c>
      <c r="C46" s="234"/>
      <c r="D46" s="233">
        <f t="shared" si="8"/>
        <v>21720000</v>
      </c>
      <c r="E46" s="232">
        <f t="shared" si="9"/>
        <v>20000</v>
      </c>
      <c r="F46" s="233">
        <f t="shared" si="7"/>
        <v>143773.86666666664</v>
      </c>
      <c r="G46" s="232">
        <f t="shared" si="4"/>
        <v>163773.86666666664</v>
      </c>
      <c r="H46" s="230">
        <f t="shared" si="10"/>
        <v>14</v>
      </c>
      <c r="I46" s="53">
        <f>SUM(E35:E46)</f>
        <v>240000</v>
      </c>
      <c r="J46" s="53">
        <f>SUM(F35:F46)</f>
        <v>1706026.6666666665</v>
      </c>
    </row>
    <row r="47" spans="1:10">
      <c r="A47">
        <f t="shared" si="5"/>
        <v>34</v>
      </c>
      <c r="B47" s="229">
        <f t="shared" si="1"/>
        <v>47149</v>
      </c>
      <c r="C47" s="60"/>
      <c r="D47" s="64">
        <f t="shared" si="8"/>
        <v>21700000</v>
      </c>
      <c r="E47" s="63">
        <f t="shared" si="9"/>
        <v>20000</v>
      </c>
      <c r="F47" s="64">
        <f t="shared" si="7"/>
        <v>143641.59999999998</v>
      </c>
      <c r="G47" s="63">
        <f t="shared" si="4"/>
        <v>163641.59999999998</v>
      </c>
      <c r="H47">
        <f t="shared" si="10"/>
        <v>15</v>
      </c>
      <c r="I47" s="48"/>
      <c r="J47" s="48"/>
    </row>
    <row r="48" spans="1:10">
      <c r="A48">
        <f t="shared" si="5"/>
        <v>35</v>
      </c>
      <c r="B48" s="229">
        <f t="shared" si="1"/>
        <v>47177</v>
      </c>
      <c r="C48" s="60"/>
      <c r="D48" s="64">
        <f t="shared" si="8"/>
        <v>21680000</v>
      </c>
      <c r="E48" s="63">
        <f t="shared" si="9"/>
        <v>20000</v>
      </c>
      <c r="F48" s="64">
        <f t="shared" si="7"/>
        <v>129621.33333333333</v>
      </c>
      <c r="G48" s="63">
        <f t="shared" si="4"/>
        <v>149621.33333333331</v>
      </c>
      <c r="H48">
        <f t="shared" si="10"/>
        <v>16</v>
      </c>
      <c r="I48" s="48"/>
      <c r="J48" s="48"/>
    </row>
    <row r="49" spans="1:10">
      <c r="A49">
        <f t="shared" si="5"/>
        <v>36</v>
      </c>
      <c r="B49" s="229">
        <f t="shared" si="1"/>
        <v>47208</v>
      </c>
      <c r="C49" s="60"/>
      <c r="D49" s="64">
        <f t="shared" si="8"/>
        <v>21660000</v>
      </c>
      <c r="E49" s="63">
        <f t="shared" si="9"/>
        <v>20000</v>
      </c>
      <c r="F49" s="64">
        <f t="shared" si="7"/>
        <v>143377.06666666665</v>
      </c>
      <c r="G49" s="63">
        <f t="shared" si="4"/>
        <v>163377.06666666665</v>
      </c>
      <c r="H49">
        <f t="shared" si="10"/>
        <v>17</v>
      </c>
      <c r="I49" s="48"/>
      <c r="J49" s="48"/>
    </row>
    <row r="50" spans="1:10">
      <c r="A50">
        <f t="shared" si="5"/>
        <v>37</v>
      </c>
      <c r="B50" s="229">
        <f t="shared" si="1"/>
        <v>47238</v>
      </c>
      <c r="C50" s="60"/>
      <c r="D50" s="64">
        <f t="shared" si="8"/>
        <v>21640000</v>
      </c>
      <c r="E50" s="63">
        <f t="shared" si="9"/>
        <v>20000</v>
      </c>
      <c r="F50" s="64">
        <f t="shared" si="7"/>
        <v>138623.99999999997</v>
      </c>
      <c r="G50" s="63">
        <f t="shared" si="4"/>
        <v>158623.99999999997</v>
      </c>
      <c r="H50">
        <f t="shared" si="10"/>
        <v>18</v>
      </c>
      <c r="I50" s="48"/>
      <c r="J50" s="48"/>
    </row>
    <row r="51" spans="1:10">
      <c r="A51">
        <f t="shared" si="5"/>
        <v>38</v>
      </c>
      <c r="B51" s="229">
        <f t="shared" si="1"/>
        <v>47269</v>
      </c>
      <c r="C51" s="60"/>
      <c r="D51" s="64">
        <f t="shared" si="8"/>
        <v>21620000</v>
      </c>
      <c r="E51" s="63">
        <f t="shared" si="9"/>
        <v>20000</v>
      </c>
      <c r="F51" s="64">
        <f t="shared" si="7"/>
        <v>143112.53333333333</v>
      </c>
      <c r="G51" s="63">
        <f t="shared" si="4"/>
        <v>163112.53333333333</v>
      </c>
      <c r="H51">
        <f t="shared" si="10"/>
        <v>19</v>
      </c>
      <c r="I51" s="48"/>
      <c r="J51" s="48"/>
    </row>
    <row r="52" spans="1:10">
      <c r="A52">
        <f t="shared" si="5"/>
        <v>39</v>
      </c>
      <c r="B52" s="229">
        <f t="shared" si="1"/>
        <v>47299</v>
      </c>
      <c r="C52" s="60"/>
      <c r="D52" s="64">
        <f t="shared" si="8"/>
        <v>21600000</v>
      </c>
      <c r="E52" s="63">
        <f t="shared" si="9"/>
        <v>20000</v>
      </c>
      <c r="F52" s="64">
        <f t="shared" si="7"/>
        <v>138367.99999999997</v>
      </c>
      <c r="G52" s="63">
        <f t="shared" si="4"/>
        <v>158367.99999999997</v>
      </c>
      <c r="H52">
        <f t="shared" si="10"/>
        <v>20</v>
      </c>
      <c r="I52" s="48"/>
      <c r="J52" s="48"/>
    </row>
    <row r="53" spans="1:10">
      <c r="A53">
        <f t="shared" si="5"/>
        <v>40</v>
      </c>
      <c r="B53" s="229">
        <f t="shared" si="1"/>
        <v>47330</v>
      </c>
      <c r="C53" s="60"/>
      <c r="D53" s="64">
        <f t="shared" si="8"/>
        <v>21580000</v>
      </c>
      <c r="E53" s="63">
        <f t="shared" si="9"/>
        <v>20000</v>
      </c>
      <c r="F53" s="64">
        <f t="shared" si="7"/>
        <v>142847.99999999997</v>
      </c>
      <c r="G53" s="63">
        <f t="shared" si="4"/>
        <v>162847.99999999997</v>
      </c>
      <c r="H53">
        <f t="shared" si="10"/>
        <v>21</v>
      </c>
      <c r="I53" s="48"/>
      <c r="J53" s="48"/>
    </row>
    <row r="54" spans="1:10">
      <c r="A54">
        <f t="shared" si="5"/>
        <v>41</v>
      </c>
      <c r="B54" s="229">
        <f t="shared" si="1"/>
        <v>47361</v>
      </c>
      <c r="C54" s="60"/>
      <c r="D54" s="64">
        <f t="shared" si="8"/>
        <v>21560000</v>
      </c>
      <c r="E54" s="63">
        <f t="shared" si="9"/>
        <v>20000</v>
      </c>
      <c r="F54" s="64">
        <f t="shared" si="7"/>
        <v>142715.73333333331</v>
      </c>
      <c r="G54" s="63">
        <f t="shared" si="4"/>
        <v>162715.73333333331</v>
      </c>
      <c r="H54">
        <f t="shared" si="10"/>
        <v>22</v>
      </c>
      <c r="I54" s="48"/>
      <c r="J54" s="48"/>
    </row>
    <row r="55" spans="1:10">
      <c r="A55">
        <f t="shared" si="5"/>
        <v>42</v>
      </c>
      <c r="B55" s="229">
        <f t="shared" si="1"/>
        <v>47391</v>
      </c>
      <c r="C55" s="60"/>
      <c r="D55" s="64">
        <f t="shared" si="8"/>
        <v>21540000</v>
      </c>
      <c r="E55" s="63">
        <f t="shared" si="9"/>
        <v>20000</v>
      </c>
      <c r="F55" s="64">
        <f t="shared" si="7"/>
        <v>137983.99999999997</v>
      </c>
      <c r="G55" s="63">
        <f t="shared" si="4"/>
        <v>157983.99999999997</v>
      </c>
      <c r="H55">
        <f t="shared" si="10"/>
        <v>23</v>
      </c>
      <c r="I55" s="48"/>
      <c r="J55" s="48"/>
    </row>
    <row r="56" spans="1:10">
      <c r="A56">
        <f t="shared" si="5"/>
        <v>43</v>
      </c>
      <c r="B56" s="229">
        <f t="shared" si="1"/>
        <v>47422</v>
      </c>
      <c r="C56" s="60"/>
      <c r="D56" s="64">
        <f t="shared" si="8"/>
        <v>21520000</v>
      </c>
      <c r="E56" s="63">
        <f t="shared" si="9"/>
        <v>20000</v>
      </c>
      <c r="F56" s="64">
        <f t="shared" si="7"/>
        <v>142451.19999999998</v>
      </c>
      <c r="G56" s="63">
        <f t="shared" si="4"/>
        <v>162451.19999999998</v>
      </c>
      <c r="H56">
        <f t="shared" si="10"/>
        <v>24</v>
      </c>
      <c r="I56" s="48"/>
      <c r="J56" s="48"/>
    </row>
    <row r="57" spans="1:10">
      <c r="A57">
        <f t="shared" si="5"/>
        <v>44</v>
      </c>
      <c r="B57" s="229">
        <f t="shared" si="1"/>
        <v>47452</v>
      </c>
      <c r="C57" s="60"/>
      <c r="D57" s="64">
        <f t="shared" si="8"/>
        <v>21500000</v>
      </c>
      <c r="E57" s="63">
        <f t="shared" si="9"/>
        <v>20000</v>
      </c>
      <c r="F57" s="64">
        <f t="shared" si="7"/>
        <v>137727.99999999997</v>
      </c>
      <c r="G57" s="63">
        <f t="shared" si="4"/>
        <v>157727.99999999997</v>
      </c>
      <c r="H57">
        <f t="shared" si="10"/>
        <v>25</v>
      </c>
      <c r="I57" s="48"/>
      <c r="J57" s="48"/>
    </row>
    <row r="58" spans="1:10" s="230" customFormat="1">
      <c r="A58">
        <f t="shared" si="5"/>
        <v>45</v>
      </c>
      <c r="B58" s="231">
        <f t="shared" si="1"/>
        <v>47483</v>
      </c>
      <c r="C58" s="234"/>
      <c r="D58" s="233">
        <f t="shared" si="8"/>
        <v>21480000</v>
      </c>
      <c r="E58" s="232">
        <f t="shared" si="9"/>
        <v>20000</v>
      </c>
      <c r="F58" s="233">
        <f t="shared" si="7"/>
        <v>142186.66666666666</v>
      </c>
      <c r="G58" s="232">
        <f t="shared" si="4"/>
        <v>162186.66666666666</v>
      </c>
      <c r="H58" s="230">
        <f t="shared" si="10"/>
        <v>26</v>
      </c>
      <c r="I58" s="53">
        <f>SUM(E47:E58)</f>
        <v>240000</v>
      </c>
      <c r="J58" s="53">
        <f>SUM(F47:F58)</f>
        <v>1682658.1333333333</v>
      </c>
    </row>
    <row r="59" spans="1:10">
      <c r="A59">
        <f t="shared" si="5"/>
        <v>46</v>
      </c>
      <c r="B59" s="229">
        <f t="shared" si="1"/>
        <v>47514</v>
      </c>
      <c r="C59" s="60"/>
      <c r="D59" s="64">
        <f t="shared" si="8"/>
        <v>21460000</v>
      </c>
      <c r="E59" s="63">
        <v>30000</v>
      </c>
      <c r="F59" s="64">
        <f t="shared" si="7"/>
        <v>142054.39999999997</v>
      </c>
      <c r="G59" s="63">
        <f t="shared" si="4"/>
        <v>172054.39999999997</v>
      </c>
      <c r="H59">
        <f t="shared" si="10"/>
        <v>27</v>
      </c>
      <c r="I59" s="48"/>
      <c r="J59" s="48"/>
    </row>
    <row r="60" spans="1:10">
      <c r="A60">
        <f t="shared" si="5"/>
        <v>47</v>
      </c>
      <c r="B60" s="229">
        <f t="shared" si="1"/>
        <v>47542</v>
      </c>
      <c r="C60" s="60"/>
      <c r="D60" s="64">
        <f t="shared" si="8"/>
        <v>21430000</v>
      </c>
      <c r="E60" s="63">
        <f t="shared" si="9"/>
        <v>30000</v>
      </c>
      <c r="F60" s="64">
        <f t="shared" si="7"/>
        <v>128187.73333333334</v>
      </c>
      <c r="G60" s="63">
        <f t="shared" si="4"/>
        <v>158187.73333333334</v>
      </c>
      <c r="H60">
        <f t="shared" si="10"/>
        <v>28</v>
      </c>
      <c r="I60" s="48"/>
      <c r="J60" s="48"/>
    </row>
    <row r="61" spans="1:10">
      <c r="A61">
        <f t="shared" si="5"/>
        <v>48</v>
      </c>
      <c r="B61" s="229">
        <f t="shared" si="1"/>
        <v>47573</v>
      </c>
      <c r="C61" s="60"/>
      <c r="D61" s="64">
        <f t="shared" si="8"/>
        <v>21400000</v>
      </c>
      <c r="E61" s="63">
        <f t="shared" si="9"/>
        <v>30000</v>
      </c>
      <c r="F61" s="64">
        <f t="shared" si="7"/>
        <v>141723.73333333331</v>
      </c>
      <c r="G61" s="63">
        <f t="shared" si="4"/>
        <v>171723.73333333331</v>
      </c>
      <c r="H61">
        <f t="shared" si="10"/>
        <v>29</v>
      </c>
      <c r="I61" s="48"/>
      <c r="J61" s="48"/>
    </row>
    <row r="62" spans="1:10">
      <c r="A62">
        <f t="shared" si="5"/>
        <v>49</v>
      </c>
      <c r="B62" s="229">
        <f t="shared" si="1"/>
        <v>47603</v>
      </c>
      <c r="C62" s="60"/>
      <c r="D62" s="64">
        <f t="shared" si="8"/>
        <v>21370000</v>
      </c>
      <c r="E62" s="63">
        <f t="shared" si="9"/>
        <v>30000</v>
      </c>
      <c r="F62" s="64">
        <f t="shared" si="7"/>
        <v>136960</v>
      </c>
      <c r="G62" s="63">
        <f t="shared" si="4"/>
        <v>166960</v>
      </c>
      <c r="H62">
        <f t="shared" si="10"/>
        <v>30</v>
      </c>
      <c r="I62" s="48"/>
      <c r="J62" s="48"/>
    </row>
    <row r="63" spans="1:10">
      <c r="A63">
        <f t="shared" si="5"/>
        <v>50</v>
      </c>
      <c r="B63" s="229">
        <f t="shared" si="1"/>
        <v>47634</v>
      </c>
      <c r="C63" s="60"/>
      <c r="D63" s="64">
        <f t="shared" si="8"/>
        <v>21340000</v>
      </c>
      <c r="E63" s="63">
        <f t="shared" si="9"/>
        <v>30000</v>
      </c>
      <c r="F63" s="64">
        <f t="shared" si="7"/>
        <v>141326.93333333332</v>
      </c>
      <c r="G63" s="63">
        <f t="shared" si="4"/>
        <v>171326.93333333332</v>
      </c>
      <c r="H63">
        <f t="shared" si="10"/>
        <v>31</v>
      </c>
      <c r="I63" s="48"/>
      <c r="J63" s="48"/>
    </row>
    <row r="64" spans="1:10">
      <c r="A64">
        <f t="shared" si="5"/>
        <v>51</v>
      </c>
      <c r="B64" s="229">
        <f t="shared" si="1"/>
        <v>47664</v>
      </c>
      <c r="C64" s="60"/>
      <c r="D64" s="64">
        <f t="shared" si="8"/>
        <v>21310000</v>
      </c>
      <c r="E64" s="63">
        <f t="shared" si="9"/>
        <v>30000</v>
      </c>
      <c r="F64" s="64">
        <f t="shared" si="7"/>
        <v>136576</v>
      </c>
      <c r="G64" s="63">
        <f t="shared" si="4"/>
        <v>166576</v>
      </c>
      <c r="H64">
        <f t="shared" si="10"/>
        <v>32</v>
      </c>
      <c r="I64" s="48"/>
      <c r="J64" s="48"/>
    </row>
    <row r="65" spans="1:10">
      <c r="A65">
        <f t="shared" si="5"/>
        <v>52</v>
      </c>
      <c r="B65" s="229">
        <f t="shared" si="1"/>
        <v>47695</v>
      </c>
      <c r="C65" s="60"/>
      <c r="D65" s="64">
        <f t="shared" si="8"/>
        <v>21280000</v>
      </c>
      <c r="E65" s="63">
        <f t="shared" si="9"/>
        <v>30000</v>
      </c>
      <c r="F65" s="64">
        <f t="shared" si="7"/>
        <v>140930.1333333333</v>
      </c>
      <c r="G65" s="63">
        <f t="shared" si="4"/>
        <v>170930.1333333333</v>
      </c>
      <c r="H65">
        <f t="shared" si="10"/>
        <v>33</v>
      </c>
      <c r="I65" s="48"/>
      <c r="J65" s="48"/>
    </row>
    <row r="66" spans="1:10">
      <c r="A66">
        <f t="shared" si="5"/>
        <v>53</v>
      </c>
      <c r="B66" s="229">
        <f t="shared" si="1"/>
        <v>47726</v>
      </c>
      <c r="C66" s="60"/>
      <c r="D66" s="64">
        <f t="shared" si="8"/>
        <v>21250000</v>
      </c>
      <c r="E66" s="63">
        <f t="shared" si="9"/>
        <v>30000</v>
      </c>
      <c r="F66" s="64">
        <f t="shared" si="7"/>
        <v>140731.73333333331</v>
      </c>
      <c r="G66" s="63">
        <f t="shared" si="4"/>
        <v>170731.73333333331</v>
      </c>
      <c r="H66">
        <f t="shared" si="10"/>
        <v>34</v>
      </c>
      <c r="I66" s="48"/>
      <c r="J66" s="48"/>
    </row>
    <row r="67" spans="1:10">
      <c r="A67">
        <f t="shared" si="5"/>
        <v>54</v>
      </c>
      <c r="B67" s="229">
        <f t="shared" si="1"/>
        <v>47756</v>
      </c>
      <c r="C67" s="60"/>
      <c r="D67" s="64">
        <f t="shared" si="8"/>
        <v>21220000</v>
      </c>
      <c r="E67" s="63">
        <f t="shared" si="9"/>
        <v>30000</v>
      </c>
      <c r="F67" s="64">
        <f t="shared" si="7"/>
        <v>136000</v>
      </c>
      <c r="G67" s="63">
        <f t="shared" si="4"/>
        <v>166000</v>
      </c>
      <c r="H67">
        <f t="shared" si="10"/>
        <v>35</v>
      </c>
      <c r="I67" s="48"/>
      <c r="J67" s="48"/>
    </row>
    <row r="68" spans="1:10">
      <c r="A68">
        <f t="shared" si="5"/>
        <v>55</v>
      </c>
      <c r="B68" s="229">
        <f t="shared" si="1"/>
        <v>47787</v>
      </c>
      <c r="C68" s="60"/>
      <c r="D68" s="64">
        <f t="shared" si="8"/>
        <v>21190000</v>
      </c>
      <c r="E68" s="63">
        <f t="shared" si="9"/>
        <v>30000</v>
      </c>
      <c r="F68" s="64">
        <f t="shared" si="7"/>
        <v>140334.93333333332</v>
      </c>
      <c r="G68" s="63">
        <f t="shared" si="4"/>
        <v>170334.93333333332</v>
      </c>
      <c r="H68">
        <f t="shared" si="10"/>
        <v>36</v>
      </c>
      <c r="I68" s="48"/>
      <c r="J68" s="48"/>
    </row>
    <row r="69" spans="1:10">
      <c r="A69">
        <f t="shared" si="5"/>
        <v>56</v>
      </c>
      <c r="B69" s="229">
        <f t="shared" si="1"/>
        <v>47817</v>
      </c>
      <c r="C69" s="60"/>
      <c r="D69" s="64">
        <f t="shared" si="8"/>
        <v>21160000</v>
      </c>
      <c r="E69" s="63">
        <f t="shared" si="9"/>
        <v>30000</v>
      </c>
      <c r="F69" s="64">
        <f t="shared" si="7"/>
        <v>135616</v>
      </c>
      <c r="G69" s="63">
        <f t="shared" si="4"/>
        <v>165616</v>
      </c>
      <c r="H69">
        <f t="shared" si="10"/>
        <v>37</v>
      </c>
      <c r="I69" s="48"/>
      <c r="J69" s="48"/>
    </row>
    <row r="70" spans="1:10" s="230" customFormat="1">
      <c r="A70">
        <f t="shared" si="5"/>
        <v>57</v>
      </c>
      <c r="B70" s="231">
        <f t="shared" si="1"/>
        <v>47848</v>
      </c>
      <c r="C70" s="234"/>
      <c r="D70" s="233">
        <f t="shared" si="8"/>
        <v>21130000</v>
      </c>
      <c r="E70" s="232">
        <f t="shared" si="9"/>
        <v>30000</v>
      </c>
      <c r="F70" s="233">
        <f t="shared" si="7"/>
        <v>139938.1333333333</v>
      </c>
      <c r="G70" s="232">
        <f t="shared" si="4"/>
        <v>169938.1333333333</v>
      </c>
      <c r="H70" s="230">
        <f t="shared" si="10"/>
        <v>38</v>
      </c>
      <c r="I70" s="53">
        <f>SUM(E59:E70)</f>
        <v>360000</v>
      </c>
      <c r="J70" s="53">
        <f>SUM(F59:F70)</f>
        <v>1660379.7333333332</v>
      </c>
    </row>
    <row r="71" spans="1:10">
      <c r="A71">
        <f t="shared" si="5"/>
        <v>58</v>
      </c>
      <c r="B71" s="229">
        <f t="shared" si="1"/>
        <v>47879</v>
      </c>
      <c r="C71" s="60"/>
      <c r="D71" s="64">
        <f t="shared" si="8"/>
        <v>21100000</v>
      </c>
      <c r="E71" s="63">
        <f>E70</f>
        <v>30000</v>
      </c>
      <c r="F71" s="64">
        <f t="shared" si="7"/>
        <v>139739.73333333331</v>
      </c>
      <c r="G71" s="63">
        <f t="shared" si="4"/>
        <v>169739.73333333331</v>
      </c>
      <c r="H71">
        <f t="shared" si="10"/>
        <v>39</v>
      </c>
      <c r="I71" s="48"/>
      <c r="J71" s="48"/>
    </row>
    <row r="72" spans="1:10">
      <c r="A72">
        <f t="shared" si="5"/>
        <v>59</v>
      </c>
      <c r="B72" s="229">
        <f t="shared" si="1"/>
        <v>47907</v>
      </c>
      <c r="C72" s="60"/>
      <c r="D72" s="64">
        <f t="shared" si="8"/>
        <v>21070000</v>
      </c>
      <c r="E72" s="63">
        <f t="shared" si="9"/>
        <v>30000</v>
      </c>
      <c r="F72" s="64">
        <f t="shared" si="7"/>
        <v>126037.33333333333</v>
      </c>
      <c r="G72" s="63">
        <f t="shared" si="4"/>
        <v>156037.33333333331</v>
      </c>
      <c r="H72">
        <f t="shared" si="10"/>
        <v>40</v>
      </c>
      <c r="I72" s="48"/>
      <c r="J72" s="48"/>
    </row>
    <row r="73" spans="1:10">
      <c r="A73">
        <f t="shared" si="5"/>
        <v>60</v>
      </c>
      <c r="B73" s="229">
        <f t="shared" si="1"/>
        <v>47938</v>
      </c>
      <c r="C73" s="60"/>
      <c r="D73" s="64">
        <f t="shared" si="8"/>
        <v>21040000</v>
      </c>
      <c r="E73" s="63">
        <f t="shared" si="9"/>
        <v>30000</v>
      </c>
      <c r="F73" s="64">
        <f t="shared" si="7"/>
        <v>139342.93333333332</v>
      </c>
      <c r="G73" s="63">
        <f t="shared" si="4"/>
        <v>169342.93333333332</v>
      </c>
      <c r="H73">
        <f t="shared" si="10"/>
        <v>41</v>
      </c>
      <c r="I73" s="48"/>
      <c r="J73" s="48"/>
    </row>
    <row r="74" spans="1:10">
      <c r="A74">
        <f t="shared" si="5"/>
        <v>61</v>
      </c>
      <c r="B74" s="229">
        <f t="shared" si="1"/>
        <v>47968</v>
      </c>
      <c r="C74" s="60"/>
      <c r="D74" s="64">
        <f t="shared" si="8"/>
        <v>21010000</v>
      </c>
      <c r="E74" s="63">
        <f t="shared" si="9"/>
        <v>30000</v>
      </c>
      <c r="F74" s="64">
        <f t="shared" si="7"/>
        <v>134656</v>
      </c>
      <c r="G74" s="63">
        <f t="shared" si="4"/>
        <v>164656</v>
      </c>
      <c r="H74">
        <f t="shared" si="10"/>
        <v>42</v>
      </c>
      <c r="I74" s="48"/>
      <c r="J74" s="48"/>
    </row>
    <row r="75" spans="1:10">
      <c r="A75">
        <f t="shared" si="5"/>
        <v>62</v>
      </c>
      <c r="B75" s="229">
        <f t="shared" si="1"/>
        <v>47999</v>
      </c>
      <c r="C75" s="60"/>
      <c r="D75" s="64">
        <f t="shared" si="8"/>
        <v>20980000</v>
      </c>
      <c r="E75" s="63">
        <f t="shared" si="9"/>
        <v>30000</v>
      </c>
      <c r="F75" s="64">
        <f t="shared" si="7"/>
        <v>138946.1333333333</v>
      </c>
      <c r="G75" s="63">
        <f t="shared" si="4"/>
        <v>168946.1333333333</v>
      </c>
      <c r="H75">
        <f t="shared" si="10"/>
        <v>43</v>
      </c>
      <c r="I75" s="48"/>
      <c r="J75" s="48"/>
    </row>
    <row r="76" spans="1:10">
      <c r="A76">
        <f t="shared" si="5"/>
        <v>63</v>
      </c>
      <c r="B76" s="229">
        <f t="shared" ref="B76:B139" si="11">EOMONTH(B75,1)</f>
        <v>48029</v>
      </c>
      <c r="C76" s="60"/>
      <c r="D76" s="64">
        <f t="shared" si="8"/>
        <v>20950000</v>
      </c>
      <c r="E76" s="63">
        <f t="shared" si="9"/>
        <v>30000</v>
      </c>
      <c r="F76" s="64">
        <f t="shared" si="7"/>
        <v>134272</v>
      </c>
      <c r="G76" s="63">
        <f t="shared" ref="G76:G139" si="12">E76+F76</f>
        <v>164272</v>
      </c>
      <c r="H76">
        <f t="shared" si="10"/>
        <v>44</v>
      </c>
      <c r="I76" s="48"/>
      <c r="J76" s="48"/>
    </row>
    <row r="77" spans="1:10">
      <c r="A77">
        <f t="shared" si="5"/>
        <v>64</v>
      </c>
      <c r="B77" s="229">
        <f t="shared" si="11"/>
        <v>48060</v>
      </c>
      <c r="C77" s="60"/>
      <c r="D77" s="64">
        <f t="shared" si="8"/>
        <v>20920000</v>
      </c>
      <c r="E77" s="63">
        <f t="shared" si="9"/>
        <v>30000</v>
      </c>
      <c r="F77" s="64">
        <f t="shared" si="7"/>
        <v>138549.33333333331</v>
      </c>
      <c r="G77" s="63">
        <f t="shared" si="12"/>
        <v>168549.33333333331</v>
      </c>
      <c r="H77">
        <f t="shared" si="10"/>
        <v>45</v>
      </c>
      <c r="I77" s="48"/>
      <c r="J77" s="48"/>
    </row>
    <row r="78" spans="1:10">
      <c r="A78">
        <f t="shared" si="5"/>
        <v>65</v>
      </c>
      <c r="B78" s="229">
        <f t="shared" si="11"/>
        <v>48091</v>
      </c>
      <c r="C78" s="60"/>
      <c r="D78" s="64">
        <f t="shared" si="8"/>
        <v>20890000</v>
      </c>
      <c r="E78" s="63">
        <f t="shared" si="9"/>
        <v>30000</v>
      </c>
      <c r="F78" s="64">
        <f t="shared" si="7"/>
        <v>138350.93333333332</v>
      </c>
      <c r="G78" s="63">
        <f t="shared" si="12"/>
        <v>168350.93333333332</v>
      </c>
      <c r="H78">
        <f t="shared" si="10"/>
        <v>46</v>
      </c>
      <c r="I78" s="48"/>
      <c r="J78" s="48"/>
    </row>
    <row r="79" spans="1:10">
      <c r="A79">
        <f t="shared" ref="A79:A142" si="13">A78+1</f>
        <v>66</v>
      </c>
      <c r="B79" s="229">
        <f t="shared" si="11"/>
        <v>48121</v>
      </c>
      <c r="C79" s="60"/>
      <c r="D79" s="64">
        <f t="shared" si="8"/>
        <v>20860000</v>
      </c>
      <c r="E79" s="63">
        <f t="shared" si="9"/>
        <v>30000</v>
      </c>
      <c r="F79" s="64">
        <f t="shared" si="7"/>
        <v>133696</v>
      </c>
      <c r="G79" s="63">
        <f t="shared" si="12"/>
        <v>163696</v>
      </c>
      <c r="H79">
        <f t="shared" si="10"/>
        <v>47</v>
      </c>
      <c r="I79" s="48"/>
      <c r="J79" s="48"/>
    </row>
    <row r="80" spans="1:10">
      <c r="A80">
        <f t="shared" si="13"/>
        <v>67</v>
      </c>
      <c r="B80" s="229">
        <f t="shared" si="11"/>
        <v>48152</v>
      </c>
      <c r="C80" s="60"/>
      <c r="D80" s="64">
        <f t="shared" si="8"/>
        <v>20830000</v>
      </c>
      <c r="E80" s="63">
        <f t="shared" si="9"/>
        <v>30000</v>
      </c>
      <c r="F80" s="64">
        <f t="shared" si="7"/>
        <v>137954.1333333333</v>
      </c>
      <c r="G80" s="63">
        <f t="shared" si="12"/>
        <v>167954.1333333333</v>
      </c>
      <c r="H80">
        <f t="shared" si="10"/>
        <v>48</v>
      </c>
      <c r="I80" s="48"/>
      <c r="J80" s="48"/>
    </row>
    <row r="81" spans="1:10">
      <c r="A81">
        <f t="shared" si="13"/>
        <v>68</v>
      </c>
      <c r="B81" s="229">
        <f t="shared" si="11"/>
        <v>48182</v>
      </c>
      <c r="C81" s="60"/>
      <c r="D81" s="64">
        <f t="shared" si="8"/>
        <v>20800000</v>
      </c>
      <c r="E81" s="63">
        <f t="shared" si="9"/>
        <v>30000</v>
      </c>
      <c r="F81" s="64">
        <f t="shared" si="7"/>
        <v>133312</v>
      </c>
      <c r="G81" s="63">
        <f t="shared" si="12"/>
        <v>163312</v>
      </c>
      <c r="H81">
        <f t="shared" si="10"/>
        <v>49</v>
      </c>
      <c r="I81" s="48"/>
      <c r="J81" s="48"/>
    </row>
    <row r="82" spans="1:10" s="230" customFormat="1">
      <c r="A82">
        <f t="shared" si="13"/>
        <v>69</v>
      </c>
      <c r="B82" s="231">
        <f t="shared" si="11"/>
        <v>48213</v>
      </c>
      <c r="C82" s="234"/>
      <c r="D82" s="233">
        <f t="shared" si="8"/>
        <v>20770000</v>
      </c>
      <c r="E82" s="232">
        <f t="shared" si="9"/>
        <v>30000</v>
      </c>
      <c r="F82" s="233">
        <f t="shared" si="7"/>
        <v>137557.33333333331</v>
      </c>
      <c r="G82" s="232">
        <f t="shared" si="12"/>
        <v>167557.33333333331</v>
      </c>
      <c r="H82" s="230">
        <f t="shared" si="10"/>
        <v>50</v>
      </c>
      <c r="I82" s="53">
        <f>SUM(E71:E82)</f>
        <v>360000</v>
      </c>
      <c r="J82" s="53">
        <f>SUM(F71:F82)</f>
        <v>1632413.8666666665</v>
      </c>
    </row>
    <row r="83" spans="1:10">
      <c r="A83">
        <f t="shared" si="13"/>
        <v>70</v>
      </c>
      <c r="B83" s="229">
        <f t="shared" si="11"/>
        <v>48244</v>
      </c>
      <c r="C83" s="60"/>
      <c r="D83" s="64">
        <f t="shared" si="8"/>
        <v>20740000</v>
      </c>
      <c r="E83" s="63">
        <v>140000</v>
      </c>
      <c r="F83" s="64">
        <f t="shared" si="7"/>
        <v>137358.93333333332</v>
      </c>
      <c r="G83" s="63">
        <f t="shared" si="12"/>
        <v>277358.93333333335</v>
      </c>
      <c r="H83">
        <f t="shared" si="10"/>
        <v>51</v>
      </c>
      <c r="I83" s="48"/>
      <c r="J83" s="48"/>
    </row>
    <row r="84" spans="1:10">
      <c r="A84">
        <f t="shared" si="13"/>
        <v>71</v>
      </c>
      <c r="B84" s="229">
        <f t="shared" si="11"/>
        <v>48273</v>
      </c>
      <c r="C84" s="60"/>
      <c r="D84" s="64">
        <f t="shared" si="8"/>
        <v>20600000</v>
      </c>
      <c r="E84" s="63">
        <f t="shared" si="9"/>
        <v>140000</v>
      </c>
      <c r="F84" s="64">
        <f t="shared" si="7"/>
        <v>128311.46666666666</v>
      </c>
      <c r="G84" s="63">
        <f t="shared" si="12"/>
        <v>268311.46666666667</v>
      </c>
      <c r="H84">
        <f t="shared" si="10"/>
        <v>52</v>
      </c>
      <c r="I84" s="48"/>
      <c r="J84" s="48"/>
    </row>
    <row r="85" spans="1:10">
      <c r="A85">
        <f t="shared" si="13"/>
        <v>72</v>
      </c>
      <c r="B85" s="229">
        <f t="shared" si="11"/>
        <v>48304</v>
      </c>
      <c r="C85" s="60"/>
      <c r="D85" s="64">
        <f t="shared" si="8"/>
        <v>20460000</v>
      </c>
      <c r="E85" s="63">
        <f t="shared" si="9"/>
        <v>140000</v>
      </c>
      <c r="F85" s="64">
        <f t="shared" si="7"/>
        <v>136234.66666666666</v>
      </c>
      <c r="G85" s="63">
        <f t="shared" si="12"/>
        <v>276234.66666666663</v>
      </c>
      <c r="H85">
        <f t="shared" si="10"/>
        <v>53</v>
      </c>
      <c r="I85" s="48"/>
      <c r="J85" s="48"/>
    </row>
    <row r="86" spans="1:10">
      <c r="A86">
        <f t="shared" si="13"/>
        <v>73</v>
      </c>
      <c r="B86" s="229">
        <f t="shared" si="11"/>
        <v>48334</v>
      </c>
      <c r="C86" s="60"/>
      <c r="D86" s="64">
        <f t="shared" si="8"/>
        <v>20320000</v>
      </c>
      <c r="E86" s="63">
        <f t="shared" si="9"/>
        <v>140000</v>
      </c>
      <c r="F86" s="64">
        <f t="shared" si="7"/>
        <v>130944</v>
      </c>
      <c r="G86" s="63">
        <f t="shared" si="12"/>
        <v>270944</v>
      </c>
      <c r="H86">
        <f t="shared" si="10"/>
        <v>54</v>
      </c>
      <c r="I86" s="48"/>
      <c r="J86" s="48"/>
    </row>
    <row r="87" spans="1:10">
      <c r="A87">
        <f t="shared" si="13"/>
        <v>74</v>
      </c>
      <c r="B87" s="229">
        <f t="shared" si="11"/>
        <v>48365</v>
      </c>
      <c r="C87" s="60"/>
      <c r="D87" s="64">
        <f t="shared" si="8"/>
        <v>20180000</v>
      </c>
      <c r="E87" s="63">
        <f t="shared" si="9"/>
        <v>140000</v>
      </c>
      <c r="F87" s="64">
        <f t="shared" si="7"/>
        <v>134382.93333333332</v>
      </c>
      <c r="G87" s="63">
        <f t="shared" si="12"/>
        <v>274382.93333333335</v>
      </c>
      <c r="H87">
        <f t="shared" si="10"/>
        <v>55</v>
      </c>
      <c r="I87" s="48"/>
      <c r="J87" s="48"/>
    </row>
    <row r="88" spans="1:10">
      <c r="A88">
        <f t="shared" si="13"/>
        <v>75</v>
      </c>
      <c r="B88" s="229">
        <f t="shared" si="11"/>
        <v>48395</v>
      </c>
      <c r="C88" s="60"/>
      <c r="D88" s="64">
        <f t="shared" si="8"/>
        <v>20040000</v>
      </c>
      <c r="E88" s="63">
        <f t="shared" si="9"/>
        <v>140000</v>
      </c>
      <c r="F88" s="64">
        <f t="shared" si="7"/>
        <v>129152</v>
      </c>
      <c r="G88" s="63">
        <f t="shared" si="12"/>
        <v>269152</v>
      </c>
      <c r="H88">
        <f t="shared" si="10"/>
        <v>56</v>
      </c>
      <c r="I88" s="48"/>
      <c r="J88" s="48"/>
    </row>
    <row r="89" spans="1:10">
      <c r="A89">
        <f t="shared" si="13"/>
        <v>76</v>
      </c>
      <c r="B89" s="229">
        <f t="shared" si="11"/>
        <v>48426</v>
      </c>
      <c r="C89" s="60"/>
      <c r="D89" s="64">
        <f t="shared" si="8"/>
        <v>19900000</v>
      </c>
      <c r="E89" s="63">
        <f t="shared" si="9"/>
        <v>140000</v>
      </c>
      <c r="F89" s="64">
        <f t="shared" ref="F89:F152" si="14">(B89-B88)*$D$4*D88/360</f>
        <v>132531.19999999998</v>
      </c>
      <c r="G89" s="63">
        <f t="shared" si="12"/>
        <v>272531.19999999995</v>
      </c>
      <c r="H89">
        <f t="shared" si="10"/>
        <v>57</v>
      </c>
      <c r="I89" s="48"/>
      <c r="J89" s="48"/>
    </row>
    <row r="90" spans="1:10">
      <c r="A90">
        <f t="shared" si="13"/>
        <v>77</v>
      </c>
      <c r="B90" s="229">
        <f t="shared" si="11"/>
        <v>48457</v>
      </c>
      <c r="C90" s="60"/>
      <c r="D90" s="64">
        <f t="shared" si="8"/>
        <v>19760000</v>
      </c>
      <c r="E90" s="63">
        <f t="shared" si="9"/>
        <v>140000</v>
      </c>
      <c r="F90" s="64">
        <f t="shared" si="14"/>
        <v>131605.33333333331</v>
      </c>
      <c r="G90" s="63">
        <f t="shared" si="12"/>
        <v>271605.33333333331</v>
      </c>
      <c r="H90">
        <f t="shared" si="10"/>
        <v>58</v>
      </c>
      <c r="I90" s="48"/>
      <c r="J90" s="48"/>
    </row>
    <row r="91" spans="1:10">
      <c r="A91">
        <f t="shared" si="13"/>
        <v>78</v>
      </c>
      <c r="B91" s="229">
        <f t="shared" si="11"/>
        <v>48487</v>
      </c>
      <c r="C91" s="60"/>
      <c r="D91" s="64">
        <f t="shared" si="8"/>
        <v>19620000</v>
      </c>
      <c r="E91" s="63">
        <f t="shared" si="9"/>
        <v>140000</v>
      </c>
      <c r="F91" s="64">
        <f t="shared" si="14"/>
        <v>126464</v>
      </c>
      <c r="G91" s="63">
        <f t="shared" si="12"/>
        <v>266464</v>
      </c>
      <c r="H91">
        <f t="shared" si="10"/>
        <v>59</v>
      </c>
      <c r="I91" s="48"/>
      <c r="J91" s="48"/>
    </row>
    <row r="92" spans="1:10">
      <c r="A92">
        <f t="shared" si="13"/>
        <v>79</v>
      </c>
      <c r="B92" s="229">
        <f t="shared" si="11"/>
        <v>48518</v>
      </c>
      <c r="C92" s="60"/>
      <c r="D92" s="64">
        <f t="shared" si="8"/>
        <v>19480000</v>
      </c>
      <c r="E92" s="63">
        <f t="shared" si="9"/>
        <v>140000</v>
      </c>
      <c r="F92" s="64">
        <f t="shared" si="14"/>
        <v>129753.59999999998</v>
      </c>
      <c r="G92" s="63">
        <f t="shared" si="12"/>
        <v>269753.59999999998</v>
      </c>
      <c r="H92">
        <f t="shared" si="10"/>
        <v>60</v>
      </c>
      <c r="I92" s="48"/>
      <c r="J92" s="48"/>
    </row>
    <row r="93" spans="1:10">
      <c r="A93">
        <f t="shared" si="13"/>
        <v>80</v>
      </c>
      <c r="B93" s="229">
        <f t="shared" si="11"/>
        <v>48548</v>
      </c>
      <c r="C93" s="60"/>
      <c r="D93" s="64">
        <f t="shared" si="8"/>
        <v>19340000</v>
      </c>
      <c r="E93" s="63">
        <f t="shared" si="9"/>
        <v>140000</v>
      </c>
      <c r="F93" s="64">
        <f t="shared" si="14"/>
        <v>124672</v>
      </c>
      <c r="G93" s="63">
        <f t="shared" si="12"/>
        <v>264672</v>
      </c>
      <c r="H93">
        <f t="shared" si="10"/>
        <v>61</v>
      </c>
      <c r="I93" s="48"/>
      <c r="J93" s="48"/>
    </row>
    <row r="94" spans="1:10" s="230" customFormat="1">
      <c r="A94">
        <f t="shared" si="13"/>
        <v>81</v>
      </c>
      <c r="B94" s="231">
        <f t="shared" si="11"/>
        <v>48579</v>
      </c>
      <c r="C94" s="234"/>
      <c r="D94" s="233">
        <f t="shared" si="8"/>
        <v>19200000</v>
      </c>
      <c r="E94" s="232">
        <f t="shared" si="9"/>
        <v>140000</v>
      </c>
      <c r="F94" s="233">
        <f t="shared" si="14"/>
        <v>127901.86666666664</v>
      </c>
      <c r="G94" s="232">
        <f t="shared" si="12"/>
        <v>267901.86666666664</v>
      </c>
      <c r="H94" s="230">
        <f t="shared" si="10"/>
        <v>62</v>
      </c>
      <c r="I94" s="53">
        <f>SUM(E83:E94)</f>
        <v>1680000</v>
      </c>
      <c r="J94" s="53">
        <f>SUM(F83:F94)</f>
        <v>1569312</v>
      </c>
    </row>
    <row r="95" spans="1:10">
      <c r="A95">
        <f t="shared" si="13"/>
        <v>82</v>
      </c>
      <c r="B95" s="229">
        <f t="shared" si="11"/>
        <v>48610</v>
      </c>
      <c r="C95" s="60"/>
      <c r="D95" s="64">
        <f t="shared" si="8"/>
        <v>19060000</v>
      </c>
      <c r="E95" s="63">
        <v>275000</v>
      </c>
      <c r="F95" s="64">
        <f t="shared" si="14"/>
        <v>126975.99999999999</v>
      </c>
      <c r="G95" s="63">
        <f t="shared" si="12"/>
        <v>401976</v>
      </c>
      <c r="H95">
        <f t="shared" si="10"/>
        <v>63</v>
      </c>
      <c r="I95" s="48"/>
      <c r="J95" s="48"/>
    </row>
    <row r="96" spans="1:10">
      <c r="A96">
        <f t="shared" si="13"/>
        <v>83</v>
      </c>
      <c r="B96" s="229">
        <f t="shared" si="11"/>
        <v>48638</v>
      </c>
      <c r="C96" s="60"/>
      <c r="D96" s="64">
        <f t="shared" ref="D96:D156" si="15">D95-E95</f>
        <v>18785000</v>
      </c>
      <c r="E96" s="63">
        <f t="shared" si="9"/>
        <v>275000</v>
      </c>
      <c r="F96" s="64">
        <f t="shared" si="14"/>
        <v>113851.73333333334</v>
      </c>
      <c r="G96" s="63">
        <f t="shared" si="12"/>
        <v>388851.73333333334</v>
      </c>
      <c r="H96">
        <f t="shared" si="10"/>
        <v>64</v>
      </c>
      <c r="I96" s="48"/>
      <c r="J96" s="48"/>
    </row>
    <row r="97" spans="1:10">
      <c r="A97">
        <f t="shared" si="13"/>
        <v>84</v>
      </c>
      <c r="B97" s="229">
        <f t="shared" si="11"/>
        <v>48669</v>
      </c>
      <c r="C97" s="60"/>
      <c r="D97" s="64">
        <f t="shared" si="15"/>
        <v>18510000</v>
      </c>
      <c r="E97" s="63">
        <f t="shared" ref="E97:E154" si="16">E96</f>
        <v>275000</v>
      </c>
      <c r="F97" s="64">
        <f t="shared" si="14"/>
        <v>124231.46666666666</v>
      </c>
      <c r="G97" s="63">
        <f t="shared" si="12"/>
        <v>399231.46666666667</v>
      </c>
      <c r="H97">
        <f t="shared" si="10"/>
        <v>65</v>
      </c>
      <c r="I97" s="48"/>
      <c r="J97" s="48"/>
    </row>
    <row r="98" spans="1:10">
      <c r="A98">
        <f t="shared" si="13"/>
        <v>85</v>
      </c>
      <c r="B98" s="229">
        <f t="shared" si="11"/>
        <v>48699</v>
      </c>
      <c r="C98" s="60"/>
      <c r="D98" s="64">
        <f t="shared" si="15"/>
        <v>18235000</v>
      </c>
      <c r="E98" s="63">
        <f t="shared" si="16"/>
        <v>275000</v>
      </c>
      <c r="F98" s="64">
        <f t="shared" si="14"/>
        <v>118464</v>
      </c>
      <c r="G98" s="63">
        <f t="shared" si="12"/>
        <v>393464</v>
      </c>
      <c r="H98">
        <f t="shared" si="10"/>
        <v>66</v>
      </c>
      <c r="I98" s="48"/>
      <c r="J98" s="48"/>
    </row>
    <row r="99" spans="1:10">
      <c r="A99">
        <f t="shared" si="13"/>
        <v>86</v>
      </c>
      <c r="B99" s="229">
        <f t="shared" si="11"/>
        <v>48730</v>
      </c>
      <c r="C99" s="60"/>
      <c r="D99" s="64">
        <f t="shared" si="15"/>
        <v>17960000</v>
      </c>
      <c r="E99" s="63">
        <f t="shared" si="16"/>
        <v>275000</v>
      </c>
      <c r="F99" s="64">
        <f t="shared" si="14"/>
        <v>120594.13333333333</v>
      </c>
      <c r="G99" s="63">
        <f t="shared" si="12"/>
        <v>395594.1333333333</v>
      </c>
      <c r="H99">
        <f t="shared" ref="H99:H157" si="17">H98+1</f>
        <v>67</v>
      </c>
      <c r="I99" s="48"/>
      <c r="J99" s="48"/>
    </row>
    <row r="100" spans="1:10">
      <c r="A100">
        <f t="shared" si="13"/>
        <v>87</v>
      </c>
      <c r="B100" s="229">
        <f t="shared" si="11"/>
        <v>48760</v>
      </c>
      <c r="C100" s="60"/>
      <c r="D100" s="64">
        <f t="shared" si="15"/>
        <v>17685000</v>
      </c>
      <c r="E100" s="63">
        <f t="shared" si="16"/>
        <v>275000</v>
      </c>
      <c r="F100" s="64">
        <f t="shared" si="14"/>
        <v>114944</v>
      </c>
      <c r="G100" s="63">
        <f t="shared" si="12"/>
        <v>389944</v>
      </c>
      <c r="H100">
        <f t="shared" si="17"/>
        <v>68</v>
      </c>
      <c r="I100" s="48"/>
      <c r="J100" s="48"/>
    </row>
    <row r="101" spans="1:10">
      <c r="A101">
        <f t="shared" si="13"/>
        <v>88</v>
      </c>
      <c r="B101" s="229">
        <f t="shared" si="11"/>
        <v>48791</v>
      </c>
      <c r="C101" s="60"/>
      <c r="D101" s="64">
        <f t="shared" si="15"/>
        <v>17410000</v>
      </c>
      <c r="E101" s="63">
        <f t="shared" si="16"/>
        <v>275000</v>
      </c>
      <c r="F101" s="64">
        <f t="shared" si="14"/>
        <v>116956.8</v>
      </c>
      <c r="G101" s="63">
        <f t="shared" si="12"/>
        <v>391956.8</v>
      </c>
      <c r="H101">
        <f t="shared" si="17"/>
        <v>69</v>
      </c>
      <c r="I101" s="48"/>
      <c r="J101" s="48"/>
    </row>
    <row r="102" spans="1:10">
      <c r="A102">
        <f t="shared" si="13"/>
        <v>89</v>
      </c>
      <c r="B102" s="229">
        <f t="shared" si="11"/>
        <v>48822</v>
      </c>
      <c r="C102" s="60"/>
      <c r="D102" s="64">
        <f t="shared" si="15"/>
        <v>17135000</v>
      </c>
      <c r="E102" s="63">
        <f t="shared" si="16"/>
        <v>275000</v>
      </c>
      <c r="F102" s="64">
        <f t="shared" si="14"/>
        <v>115138.13333333333</v>
      </c>
      <c r="G102" s="63">
        <f t="shared" si="12"/>
        <v>390138.1333333333</v>
      </c>
      <c r="H102">
        <f t="shared" si="17"/>
        <v>70</v>
      </c>
      <c r="I102" s="48"/>
      <c r="J102" s="48"/>
    </row>
    <row r="103" spans="1:10">
      <c r="A103">
        <f t="shared" si="13"/>
        <v>90</v>
      </c>
      <c r="B103" s="229">
        <f t="shared" si="11"/>
        <v>48852</v>
      </c>
      <c r="C103" s="60"/>
      <c r="D103" s="64">
        <f t="shared" si="15"/>
        <v>16860000</v>
      </c>
      <c r="E103" s="63">
        <f t="shared" si="16"/>
        <v>275000</v>
      </c>
      <c r="F103" s="64">
        <f t="shared" si="14"/>
        <v>109664</v>
      </c>
      <c r="G103" s="63">
        <f t="shared" si="12"/>
        <v>384664</v>
      </c>
      <c r="H103">
        <f t="shared" si="17"/>
        <v>71</v>
      </c>
      <c r="I103" s="48"/>
      <c r="J103" s="48"/>
    </row>
    <row r="104" spans="1:10">
      <c r="A104">
        <f t="shared" si="13"/>
        <v>91</v>
      </c>
      <c r="B104" s="229">
        <f t="shared" si="11"/>
        <v>48883</v>
      </c>
      <c r="C104" s="60"/>
      <c r="D104" s="64">
        <f t="shared" si="15"/>
        <v>16585000</v>
      </c>
      <c r="E104" s="63">
        <f t="shared" si="16"/>
        <v>275000</v>
      </c>
      <c r="F104" s="64">
        <f t="shared" si="14"/>
        <v>111500.8</v>
      </c>
      <c r="G104" s="63">
        <f t="shared" si="12"/>
        <v>386500.8</v>
      </c>
      <c r="H104">
        <f t="shared" si="17"/>
        <v>72</v>
      </c>
      <c r="I104" s="48"/>
      <c r="J104" s="48"/>
    </row>
    <row r="105" spans="1:10">
      <c r="A105">
        <f t="shared" si="13"/>
        <v>92</v>
      </c>
      <c r="B105" s="229">
        <f t="shared" si="11"/>
        <v>48913</v>
      </c>
      <c r="C105" s="60"/>
      <c r="D105" s="64">
        <f t="shared" si="15"/>
        <v>16310000</v>
      </c>
      <c r="E105" s="63">
        <f t="shared" si="16"/>
        <v>275000</v>
      </c>
      <c r="F105" s="64">
        <f t="shared" si="14"/>
        <v>106144</v>
      </c>
      <c r="G105" s="63">
        <f t="shared" si="12"/>
        <v>381144</v>
      </c>
      <c r="H105">
        <f t="shared" si="17"/>
        <v>73</v>
      </c>
      <c r="I105" s="48"/>
      <c r="J105" s="48"/>
    </row>
    <row r="106" spans="1:10" s="230" customFormat="1">
      <c r="A106">
        <f t="shared" si="13"/>
        <v>93</v>
      </c>
      <c r="B106" s="231">
        <f t="shared" si="11"/>
        <v>48944</v>
      </c>
      <c r="C106" s="234"/>
      <c r="D106" s="233">
        <f t="shared" si="15"/>
        <v>16035000</v>
      </c>
      <c r="E106" s="232">
        <f t="shared" si="16"/>
        <v>275000</v>
      </c>
      <c r="F106" s="233">
        <f t="shared" si="14"/>
        <v>107863.46666666666</v>
      </c>
      <c r="G106" s="232">
        <f t="shared" si="12"/>
        <v>382863.46666666667</v>
      </c>
      <c r="H106" s="230">
        <f t="shared" si="17"/>
        <v>74</v>
      </c>
      <c r="I106" s="53">
        <f>SUM(E95:E106)</f>
        <v>3300000</v>
      </c>
      <c r="J106" s="53">
        <f>SUM(F95:F106)</f>
        <v>1386328.5333333332</v>
      </c>
    </row>
    <row r="107" spans="1:10">
      <c r="A107">
        <f t="shared" si="13"/>
        <v>94</v>
      </c>
      <c r="B107" s="229">
        <f t="shared" si="11"/>
        <v>48975</v>
      </c>
      <c r="C107" s="60"/>
      <c r="D107" s="64">
        <f t="shared" si="15"/>
        <v>15760000</v>
      </c>
      <c r="E107" s="63">
        <f>E106</f>
        <v>275000</v>
      </c>
      <c r="F107" s="64">
        <f t="shared" si="14"/>
        <v>106044.8</v>
      </c>
      <c r="G107" s="63">
        <f t="shared" si="12"/>
        <v>381044.8</v>
      </c>
      <c r="H107">
        <f t="shared" si="17"/>
        <v>75</v>
      </c>
      <c r="I107" s="48"/>
      <c r="J107" s="48"/>
    </row>
    <row r="108" spans="1:10">
      <c r="A108">
        <f t="shared" si="13"/>
        <v>95</v>
      </c>
      <c r="B108" s="229">
        <f t="shared" si="11"/>
        <v>49003</v>
      </c>
      <c r="C108" s="60"/>
      <c r="D108" s="64">
        <f t="shared" si="15"/>
        <v>15485000</v>
      </c>
      <c r="E108" s="63">
        <f t="shared" si="16"/>
        <v>275000</v>
      </c>
      <c r="F108" s="64">
        <f t="shared" si="14"/>
        <v>94139.733333333337</v>
      </c>
      <c r="G108" s="63">
        <f t="shared" si="12"/>
        <v>369139.73333333334</v>
      </c>
      <c r="H108">
        <f t="shared" si="17"/>
        <v>76</v>
      </c>
      <c r="I108" s="48"/>
      <c r="J108" s="48"/>
    </row>
    <row r="109" spans="1:10">
      <c r="A109">
        <f t="shared" si="13"/>
        <v>96</v>
      </c>
      <c r="B109" s="229">
        <f t="shared" si="11"/>
        <v>49034</v>
      </c>
      <c r="C109" s="60"/>
      <c r="D109" s="64">
        <f t="shared" si="15"/>
        <v>15210000</v>
      </c>
      <c r="E109" s="63">
        <f t="shared" si="16"/>
        <v>275000</v>
      </c>
      <c r="F109" s="64">
        <f t="shared" si="14"/>
        <v>102407.46666666666</v>
      </c>
      <c r="G109" s="63">
        <f t="shared" si="12"/>
        <v>377407.46666666667</v>
      </c>
      <c r="H109">
        <f t="shared" si="17"/>
        <v>77</v>
      </c>
      <c r="I109" s="48"/>
      <c r="J109" s="48"/>
    </row>
    <row r="110" spans="1:10">
      <c r="A110">
        <f t="shared" si="13"/>
        <v>97</v>
      </c>
      <c r="B110" s="229">
        <f t="shared" si="11"/>
        <v>49064</v>
      </c>
      <c r="C110" s="60"/>
      <c r="D110" s="64">
        <f t="shared" si="15"/>
        <v>14935000</v>
      </c>
      <c r="E110" s="63">
        <f t="shared" si="16"/>
        <v>275000</v>
      </c>
      <c r="F110" s="64">
        <f t="shared" si="14"/>
        <v>97344</v>
      </c>
      <c r="G110" s="63">
        <f t="shared" si="12"/>
        <v>372344</v>
      </c>
      <c r="H110">
        <f t="shared" si="17"/>
        <v>78</v>
      </c>
      <c r="I110" s="48"/>
      <c r="J110" s="48"/>
    </row>
    <row r="111" spans="1:10">
      <c r="A111">
        <f t="shared" si="13"/>
        <v>98</v>
      </c>
      <c r="B111" s="229">
        <f t="shared" si="11"/>
        <v>49095</v>
      </c>
      <c r="C111" s="60"/>
      <c r="D111" s="64">
        <f t="shared" si="15"/>
        <v>14660000</v>
      </c>
      <c r="E111" s="63">
        <f t="shared" si="16"/>
        <v>275000</v>
      </c>
      <c r="F111" s="64">
        <f t="shared" si="14"/>
        <v>98770.133333333331</v>
      </c>
      <c r="G111" s="63">
        <f t="shared" si="12"/>
        <v>373770.1333333333</v>
      </c>
      <c r="H111">
        <f t="shared" si="17"/>
        <v>79</v>
      </c>
      <c r="I111" s="48"/>
      <c r="J111" s="48"/>
    </row>
    <row r="112" spans="1:10">
      <c r="A112">
        <f t="shared" si="13"/>
        <v>99</v>
      </c>
      <c r="B112" s="229">
        <f t="shared" si="11"/>
        <v>49125</v>
      </c>
      <c r="C112" s="60"/>
      <c r="D112" s="64">
        <f t="shared" si="15"/>
        <v>14385000</v>
      </c>
      <c r="E112" s="63">
        <f t="shared" si="16"/>
        <v>275000</v>
      </c>
      <c r="F112" s="64">
        <f t="shared" si="14"/>
        <v>93824</v>
      </c>
      <c r="G112" s="63">
        <f t="shared" si="12"/>
        <v>368824</v>
      </c>
      <c r="H112">
        <f t="shared" si="17"/>
        <v>80</v>
      </c>
      <c r="I112" s="48"/>
      <c r="J112" s="48"/>
    </row>
    <row r="113" spans="1:10">
      <c r="A113">
        <f t="shared" si="13"/>
        <v>100</v>
      </c>
      <c r="B113" s="229">
        <f t="shared" si="11"/>
        <v>49156</v>
      </c>
      <c r="C113" s="60"/>
      <c r="D113" s="64">
        <f t="shared" si="15"/>
        <v>14110000</v>
      </c>
      <c r="E113" s="63">
        <f t="shared" si="16"/>
        <v>275000</v>
      </c>
      <c r="F113" s="64">
        <f t="shared" si="14"/>
        <v>95132.800000000003</v>
      </c>
      <c r="G113" s="63">
        <f t="shared" si="12"/>
        <v>370132.8</v>
      </c>
      <c r="H113">
        <f t="shared" si="17"/>
        <v>81</v>
      </c>
      <c r="I113" s="48"/>
      <c r="J113" s="48"/>
    </row>
    <row r="114" spans="1:10">
      <c r="A114">
        <f t="shared" si="13"/>
        <v>101</v>
      </c>
      <c r="B114" s="229">
        <f t="shared" si="11"/>
        <v>49187</v>
      </c>
      <c r="C114" s="60"/>
      <c r="D114" s="64">
        <f t="shared" si="15"/>
        <v>13835000</v>
      </c>
      <c r="E114" s="63">
        <f t="shared" si="16"/>
        <v>275000</v>
      </c>
      <c r="F114" s="64">
        <f t="shared" si="14"/>
        <v>93314.133333333331</v>
      </c>
      <c r="G114" s="63">
        <f t="shared" si="12"/>
        <v>368314.1333333333</v>
      </c>
      <c r="H114">
        <f t="shared" si="17"/>
        <v>82</v>
      </c>
      <c r="I114" s="48"/>
      <c r="J114" s="48"/>
    </row>
    <row r="115" spans="1:10">
      <c r="A115">
        <f t="shared" si="13"/>
        <v>102</v>
      </c>
      <c r="B115" s="229">
        <f t="shared" si="11"/>
        <v>49217</v>
      </c>
      <c r="C115" s="60"/>
      <c r="D115" s="64">
        <f t="shared" si="15"/>
        <v>13560000</v>
      </c>
      <c r="E115" s="63">
        <f t="shared" si="16"/>
        <v>275000</v>
      </c>
      <c r="F115" s="64">
        <f t="shared" si="14"/>
        <v>88543.999999999985</v>
      </c>
      <c r="G115" s="63">
        <f t="shared" si="12"/>
        <v>363544</v>
      </c>
      <c r="H115">
        <f t="shared" si="17"/>
        <v>83</v>
      </c>
      <c r="I115" s="48"/>
      <c r="J115" s="48"/>
    </row>
    <row r="116" spans="1:10">
      <c r="A116">
        <f t="shared" si="13"/>
        <v>103</v>
      </c>
      <c r="B116" s="229">
        <f t="shared" si="11"/>
        <v>49248</v>
      </c>
      <c r="C116" s="60"/>
      <c r="D116" s="64">
        <f t="shared" si="15"/>
        <v>13285000</v>
      </c>
      <c r="E116" s="63">
        <f t="shared" si="16"/>
        <v>275000</v>
      </c>
      <c r="F116" s="64">
        <f t="shared" si="14"/>
        <v>89676.799999999988</v>
      </c>
      <c r="G116" s="63">
        <f t="shared" si="12"/>
        <v>364676.8</v>
      </c>
      <c r="H116">
        <f t="shared" si="17"/>
        <v>84</v>
      </c>
      <c r="I116" s="48"/>
      <c r="J116" s="48"/>
    </row>
    <row r="117" spans="1:10">
      <c r="A117">
        <f t="shared" si="13"/>
        <v>104</v>
      </c>
      <c r="B117" s="229">
        <f t="shared" si="11"/>
        <v>49278</v>
      </c>
      <c r="C117" s="60"/>
      <c r="D117" s="64">
        <f t="shared" si="15"/>
        <v>13010000</v>
      </c>
      <c r="E117" s="63">
        <f t="shared" si="16"/>
        <v>275000</v>
      </c>
      <c r="F117" s="64">
        <f t="shared" si="14"/>
        <v>85023.999999999985</v>
      </c>
      <c r="G117" s="63">
        <f t="shared" si="12"/>
        <v>360024</v>
      </c>
      <c r="H117">
        <f t="shared" si="17"/>
        <v>85</v>
      </c>
      <c r="I117" s="48"/>
      <c r="J117" s="48"/>
    </row>
    <row r="118" spans="1:10" s="230" customFormat="1">
      <c r="A118">
        <f t="shared" si="13"/>
        <v>105</v>
      </c>
      <c r="B118" s="231">
        <f t="shared" si="11"/>
        <v>49309</v>
      </c>
      <c r="C118" s="234"/>
      <c r="D118" s="233">
        <f t="shared" si="15"/>
        <v>12735000</v>
      </c>
      <c r="E118" s="232">
        <f t="shared" si="16"/>
        <v>275000</v>
      </c>
      <c r="F118" s="233">
        <f t="shared" si="14"/>
        <v>86039.46666666666</v>
      </c>
      <c r="G118" s="232">
        <f t="shared" si="12"/>
        <v>361039.46666666667</v>
      </c>
      <c r="H118" s="230">
        <f t="shared" si="17"/>
        <v>86</v>
      </c>
      <c r="I118" s="53">
        <f>SUM(E107:E118)</f>
        <v>3300000</v>
      </c>
      <c r="J118" s="53">
        <f>SUM(F107:F118)</f>
        <v>1130261.3333333333</v>
      </c>
    </row>
    <row r="119" spans="1:10">
      <c r="A119">
        <f t="shared" si="13"/>
        <v>106</v>
      </c>
      <c r="B119" s="229">
        <f t="shared" si="11"/>
        <v>49340</v>
      </c>
      <c r="C119" s="60"/>
      <c r="D119" s="64">
        <f t="shared" si="15"/>
        <v>12460000</v>
      </c>
      <c r="E119" s="63">
        <v>275000</v>
      </c>
      <c r="F119" s="64">
        <f t="shared" si="14"/>
        <v>84220.799999999988</v>
      </c>
      <c r="G119" s="63">
        <f t="shared" si="12"/>
        <v>359220.8</v>
      </c>
      <c r="H119">
        <f t="shared" si="17"/>
        <v>87</v>
      </c>
      <c r="I119" s="48"/>
      <c r="J119" s="48"/>
    </row>
    <row r="120" spans="1:10">
      <c r="A120">
        <f t="shared" si="13"/>
        <v>107</v>
      </c>
      <c r="B120" s="229">
        <f t="shared" si="11"/>
        <v>49368</v>
      </c>
      <c r="C120" s="60"/>
      <c r="D120" s="64">
        <f t="shared" si="15"/>
        <v>12185000</v>
      </c>
      <c r="E120" s="63">
        <f t="shared" si="16"/>
        <v>275000</v>
      </c>
      <c r="F120" s="64">
        <f t="shared" si="14"/>
        <v>74427.733333333337</v>
      </c>
      <c r="G120" s="63">
        <f t="shared" si="12"/>
        <v>349427.73333333334</v>
      </c>
      <c r="H120">
        <f t="shared" si="17"/>
        <v>88</v>
      </c>
      <c r="I120" s="48"/>
      <c r="J120" s="48"/>
    </row>
    <row r="121" spans="1:10">
      <c r="A121">
        <f t="shared" si="13"/>
        <v>108</v>
      </c>
      <c r="B121" s="229">
        <f t="shared" si="11"/>
        <v>49399</v>
      </c>
      <c r="C121" s="60"/>
      <c r="D121" s="64">
        <f t="shared" si="15"/>
        <v>11910000</v>
      </c>
      <c r="E121" s="63">
        <f t="shared" si="16"/>
        <v>275000</v>
      </c>
      <c r="F121" s="64">
        <f t="shared" si="14"/>
        <v>80583.46666666666</v>
      </c>
      <c r="G121" s="63">
        <f t="shared" si="12"/>
        <v>355583.46666666667</v>
      </c>
      <c r="H121">
        <f t="shared" si="17"/>
        <v>89</v>
      </c>
      <c r="I121" s="48"/>
      <c r="J121" s="48"/>
    </row>
    <row r="122" spans="1:10">
      <c r="A122">
        <f t="shared" si="13"/>
        <v>109</v>
      </c>
      <c r="B122" s="229">
        <f t="shared" si="11"/>
        <v>49429</v>
      </c>
      <c r="C122" s="60"/>
      <c r="D122" s="64">
        <f t="shared" si="15"/>
        <v>11635000</v>
      </c>
      <c r="E122" s="63">
        <f t="shared" si="16"/>
        <v>275000</v>
      </c>
      <c r="F122" s="64">
        <f t="shared" si="14"/>
        <v>76223.999999999985</v>
      </c>
      <c r="G122" s="63">
        <f t="shared" si="12"/>
        <v>351224</v>
      </c>
      <c r="H122">
        <f t="shared" si="17"/>
        <v>90</v>
      </c>
      <c r="I122" s="48"/>
      <c r="J122" s="48"/>
    </row>
    <row r="123" spans="1:10">
      <c r="A123">
        <f t="shared" si="13"/>
        <v>110</v>
      </c>
      <c r="B123" s="229">
        <f t="shared" si="11"/>
        <v>49460</v>
      </c>
      <c r="C123" s="60"/>
      <c r="D123" s="64">
        <f t="shared" si="15"/>
        <v>11360000</v>
      </c>
      <c r="E123" s="63">
        <f t="shared" si="16"/>
        <v>275000</v>
      </c>
      <c r="F123" s="64">
        <f t="shared" si="14"/>
        <v>76946.133333333317</v>
      </c>
      <c r="G123" s="63">
        <f t="shared" si="12"/>
        <v>351946.1333333333</v>
      </c>
      <c r="H123">
        <f t="shared" si="17"/>
        <v>91</v>
      </c>
      <c r="I123" s="48"/>
      <c r="J123" s="48"/>
    </row>
    <row r="124" spans="1:10">
      <c r="A124">
        <f t="shared" si="13"/>
        <v>111</v>
      </c>
      <c r="B124" s="229">
        <f t="shared" si="11"/>
        <v>49490</v>
      </c>
      <c r="C124" s="60"/>
      <c r="D124" s="64">
        <f t="shared" si="15"/>
        <v>11085000</v>
      </c>
      <c r="E124" s="63">
        <f t="shared" si="16"/>
        <v>275000</v>
      </c>
      <c r="F124" s="64">
        <f t="shared" si="14"/>
        <v>72703.999999999985</v>
      </c>
      <c r="G124" s="63">
        <f t="shared" si="12"/>
        <v>347704</v>
      </c>
      <c r="H124">
        <f t="shared" si="17"/>
        <v>92</v>
      </c>
      <c r="I124" s="48"/>
      <c r="J124" s="48"/>
    </row>
    <row r="125" spans="1:10">
      <c r="A125">
        <f t="shared" si="13"/>
        <v>112</v>
      </c>
      <c r="B125" s="229">
        <f t="shared" si="11"/>
        <v>49521</v>
      </c>
      <c r="C125" s="60"/>
      <c r="D125" s="64">
        <f t="shared" si="15"/>
        <v>10810000</v>
      </c>
      <c r="E125" s="63">
        <f t="shared" si="16"/>
        <v>275000</v>
      </c>
      <c r="F125" s="64">
        <f t="shared" si="14"/>
        <v>73308.799999999988</v>
      </c>
      <c r="G125" s="63">
        <f t="shared" si="12"/>
        <v>348308.8</v>
      </c>
      <c r="H125">
        <f t="shared" si="17"/>
        <v>93</v>
      </c>
      <c r="I125" s="48"/>
      <c r="J125" s="48"/>
    </row>
    <row r="126" spans="1:10">
      <c r="A126">
        <f t="shared" si="13"/>
        <v>113</v>
      </c>
      <c r="B126" s="229">
        <f t="shared" si="11"/>
        <v>49552</v>
      </c>
      <c r="C126" s="60"/>
      <c r="D126" s="64">
        <f t="shared" si="15"/>
        <v>10535000</v>
      </c>
      <c r="E126" s="63">
        <f t="shared" si="16"/>
        <v>275000</v>
      </c>
      <c r="F126" s="64">
        <f t="shared" si="14"/>
        <v>71490.133333333317</v>
      </c>
      <c r="G126" s="63">
        <f t="shared" si="12"/>
        <v>346490.1333333333</v>
      </c>
      <c r="H126">
        <f t="shared" si="17"/>
        <v>94</v>
      </c>
      <c r="I126" s="48"/>
      <c r="J126" s="48"/>
    </row>
    <row r="127" spans="1:10">
      <c r="A127">
        <f t="shared" si="13"/>
        <v>114</v>
      </c>
      <c r="B127" s="229">
        <f t="shared" si="11"/>
        <v>49582</v>
      </c>
      <c r="C127" s="60"/>
      <c r="D127" s="64">
        <f t="shared" si="15"/>
        <v>10260000</v>
      </c>
      <c r="E127" s="63">
        <f t="shared" si="16"/>
        <v>275000</v>
      </c>
      <c r="F127" s="64">
        <f t="shared" si="14"/>
        <v>67424</v>
      </c>
      <c r="G127" s="63">
        <f t="shared" si="12"/>
        <v>342424</v>
      </c>
      <c r="H127">
        <f t="shared" si="17"/>
        <v>95</v>
      </c>
      <c r="I127" s="48"/>
      <c r="J127" s="48"/>
    </row>
    <row r="128" spans="1:10">
      <c r="A128">
        <f t="shared" si="13"/>
        <v>115</v>
      </c>
      <c r="B128" s="229">
        <f t="shared" si="11"/>
        <v>49613</v>
      </c>
      <c r="C128" s="60"/>
      <c r="D128" s="64">
        <f t="shared" si="15"/>
        <v>9985000</v>
      </c>
      <c r="E128" s="63">
        <f t="shared" si="16"/>
        <v>275000</v>
      </c>
      <c r="F128" s="64">
        <f t="shared" si="14"/>
        <v>67852.799999999988</v>
      </c>
      <c r="G128" s="63">
        <f t="shared" si="12"/>
        <v>342852.8</v>
      </c>
      <c r="H128">
        <f t="shared" si="17"/>
        <v>96</v>
      </c>
      <c r="I128" s="48"/>
      <c r="J128" s="48"/>
    </row>
    <row r="129" spans="1:10">
      <c r="A129">
        <f t="shared" si="13"/>
        <v>116</v>
      </c>
      <c r="B129" s="229">
        <f t="shared" si="11"/>
        <v>49643</v>
      </c>
      <c r="C129" s="60"/>
      <c r="D129" s="64">
        <f t="shared" si="15"/>
        <v>9710000</v>
      </c>
      <c r="E129" s="63">
        <f t="shared" si="16"/>
        <v>275000</v>
      </c>
      <c r="F129" s="64">
        <f t="shared" si="14"/>
        <v>63904</v>
      </c>
      <c r="G129" s="63">
        <f t="shared" si="12"/>
        <v>338904</v>
      </c>
      <c r="H129">
        <f t="shared" si="17"/>
        <v>97</v>
      </c>
      <c r="I129" s="48"/>
      <c r="J129" s="48"/>
    </row>
    <row r="130" spans="1:10" s="230" customFormat="1">
      <c r="A130">
        <f t="shared" si="13"/>
        <v>117</v>
      </c>
      <c r="B130" s="231">
        <f t="shared" si="11"/>
        <v>49674</v>
      </c>
      <c r="C130" s="234"/>
      <c r="D130" s="233">
        <f t="shared" si="15"/>
        <v>9435000</v>
      </c>
      <c r="E130" s="232">
        <f t="shared" si="16"/>
        <v>275000</v>
      </c>
      <c r="F130" s="233">
        <f t="shared" si="14"/>
        <v>64215.46666666666</v>
      </c>
      <c r="G130" s="232">
        <f t="shared" si="12"/>
        <v>339215.46666666667</v>
      </c>
      <c r="H130" s="230">
        <f t="shared" si="17"/>
        <v>98</v>
      </c>
      <c r="I130" s="53">
        <f>SUM(E119:E130)</f>
        <v>3300000</v>
      </c>
      <c r="J130" s="53">
        <f>SUM(F119:F130)</f>
        <v>873301.33333333337</v>
      </c>
    </row>
    <row r="131" spans="1:10">
      <c r="A131">
        <f t="shared" si="13"/>
        <v>118</v>
      </c>
      <c r="B131" s="229">
        <f t="shared" si="11"/>
        <v>49705</v>
      </c>
      <c r="C131" s="60"/>
      <c r="D131" s="64">
        <f t="shared" si="15"/>
        <v>9160000</v>
      </c>
      <c r="E131" s="63">
        <v>340000</v>
      </c>
      <c r="F131" s="64">
        <f t="shared" si="14"/>
        <v>62396.800000000003</v>
      </c>
      <c r="G131" s="63">
        <f t="shared" si="12"/>
        <v>402396.8</v>
      </c>
      <c r="H131">
        <f t="shared" si="17"/>
        <v>99</v>
      </c>
      <c r="I131" s="48"/>
      <c r="J131" s="48"/>
    </row>
    <row r="132" spans="1:10">
      <c r="A132">
        <f t="shared" si="13"/>
        <v>119</v>
      </c>
      <c r="B132" s="229">
        <f t="shared" si="11"/>
        <v>49734</v>
      </c>
      <c r="C132" s="60"/>
      <c r="D132" s="64">
        <f t="shared" si="15"/>
        <v>8820000</v>
      </c>
      <c r="E132" s="63">
        <f t="shared" si="16"/>
        <v>340000</v>
      </c>
      <c r="F132" s="64">
        <f t="shared" si="14"/>
        <v>56669.866666666669</v>
      </c>
      <c r="G132" s="63">
        <f t="shared" si="12"/>
        <v>396669.8666666667</v>
      </c>
      <c r="H132">
        <f t="shared" si="17"/>
        <v>100</v>
      </c>
      <c r="I132" s="48"/>
      <c r="J132" s="48"/>
    </row>
    <row r="133" spans="1:10">
      <c r="A133">
        <f t="shared" si="13"/>
        <v>120</v>
      </c>
      <c r="B133" s="229">
        <f t="shared" si="11"/>
        <v>49765</v>
      </c>
      <c r="C133" s="60"/>
      <c r="D133" s="64">
        <f t="shared" si="15"/>
        <v>8480000</v>
      </c>
      <c r="E133" s="63">
        <f t="shared" si="16"/>
        <v>340000</v>
      </c>
      <c r="F133" s="64">
        <f t="shared" si="14"/>
        <v>58329.599999999999</v>
      </c>
      <c r="G133" s="63">
        <f t="shared" si="12"/>
        <v>398329.59999999998</v>
      </c>
      <c r="H133">
        <f t="shared" si="17"/>
        <v>101</v>
      </c>
      <c r="I133" s="48"/>
      <c r="J133" s="48"/>
    </row>
    <row r="134" spans="1:10">
      <c r="A134">
        <f t="shared" si="13"/>
        <v>121</v>
      </c>
      <c r="B134" s="229">
        <f t="shared" si="11"/>
        <v>49795</v>
      </c>
      <c r="C134" s="60"/>
      <c r="D134" s="64">
        <f t="shared" si="15"/>
        <v>8140000</v>
      </c>
      <c r="E134" s="63">
        <f t="shared" si="16"/>
        <v>340000</v>
      </c>
      <c r="F134" s="64">
        <f t="shared" si="14"/>
        <v>54272</v>
      </c>
      <c r="G134" s="63">
        <f t="shared" si="12"/>
        <v>394272</v>
      </c>
      <c r="H134">
        <f t="shared" si="17"/>
        <v>102</v>
      </c>
      <c r="I134" s="48"/>
      <c r="J134" s="48"/>
    </row>
    <row r="135" spans="1:10">
      <c r="A135">
        <f t="shared" si="13"/>
        <v>122</v>
      </c>
      <c r="B135" s="229">
        <f t="shared" si="11"/>
        <v>49826</v>
      </c>
      <c r="C135" s="60"/>
      <c r="D135" s="64">
        <f t="shared" si="15"/>
        <v>7800000</v>
      </c>
      <c r="E135" s="63">
        <f t="shared" si="16"/>
        <v>340000</v>
      </c>
      <c r="F135" s="64">
        <f t="shared" si="14"/>
        <v>53832.533333333333</v>
      </c>
      <c r="G135" s="63">
        <f t="shared" si="12"/>
        <v>393832.53333333333</v>
      </c>
      <c r="H135">
        <f t="shared" si="17"/>
        <v>103</v>
      </c>
      <c r="I135" s="48"/>
      <c r="J135" s="48"/>
    </row>
    <row r="136" spans="1:10">
      <c r="A136">
        <f t="shared" si="13"/>
        <v>123</v>
      </c>
      <c r="B136" s="229">
        <f t="shared" si="11"/>
        <v>49856</v>
      </c>
      <c r="C136" s="60"/>
      <c r="D136" s="64">
        <f t="shared" si="15"/>
        <v>7460000</v>
      </c>
      <c r="E136" s="63">
        <f t="shared" si="16"/>
        <v>340000</v>
      </c>
      <c r="F136" s="64">
        <f t="shared" si="14"/>
        <v>49920</v>
      </c>
      <c r="G136" s="63">
        <f t="shared" si="12"/>
        <v>389920</v>
      </c>
      <c r="H136">
        <f t="shared" si="17"/>
        <v>104</v>
      </c>
      <c r="I136" s="48"/>
      <c r="J136" s="48"/>
    </row>
    <row r="137" spans="1:10">
      <c r="A137">
        <f t="shared" si="13"/>
        <v>124</v>
      </c>
      <c r="B137" s="229">
        <f t="shared" si="11"/>
        <v>49887</v>
      </c>
      <c r="C137" s="60"/>
      <c r="D137" s="64">
        <f t="shared" si="15"/>
        <v>7120000</v>
      </c>
      <c r="E137" s="63">
        <f t="shared" si="16"/>
        <v>340000</v>
      </c>
      <c r="F137" s="64">
        <f t="shared" si="14"/>
        <v>49335.466666666667</v>
      </c>
      <c r="G137" s="63">
        <f t="shared" si="12"/>
        <v>389335.46666666667</v>
      </c>
      <c r="H137">
        <f t="shared" si="17"/>
        <v>105</v>
      </c>
      <c r="I137" s="48"/>
      <c r="J137" s="48"/>
    </row>
    <row r="138" spans="1:10">
      <c r="A138">
        <f t="shared" si="13"/>
        <v>125</v>
      </c>
      <c r="B138" s="229">
        <f t="shared" si="11"/>
        <v>49918</v>
      </c>
      <c r="C138" s="60"/>
      <c r="D138" s="64">
        <f t="shared" si="15"/>
        <v>6780000</v>
      </c>
      <c r="E138" s="63">
        <f t="shared" si="16"/>
        <v>340000</v>
      </c>
      <c r="F138" s="64">
        <f t="shared" si="14"/>
        <v>47086.933333333334</v>
      </c>
      <c r="G138" s="63">
        <f t="shared" si="12"/>
        <v>387086.93333333335</v>
      </c>
      <c r="H138">
        <f t="shared" si="17"/>
        <v>106</v>
      </c>
      <c r="I138" s="48"/>
      <c r="J138" s="48"/>
    </row>
    <row r="139" spans="1:10">
      <c r="A139">
        <f t="shared" si="13"/>
        <v>126</v>
      </c>
      <c r="B139" s="229">
        <f t="shared" si="11"/>
        <v>49948</v>
      </c>
      <c r="C139" s="60"/>
      <c r="D139" s="64">
        <f t="shared" si="15"/>
        <v>6440000</v>
      </c>
      <c r="E139" s="63">
        <f t="shared" si="16"/>
        <v>340000</v>
      </c>
      <c r="F139" s="64">
        <f t="shared" si="14"/>
        <v>43391.999999999993</v>
      </c>
      <c r="G139" s="63">
        <f t="shared" si="12"/>
        <v>383392</v>
      </c>
      <c r="H139">
        <f t="shared" si="17"/>
        <v>107</v>
      </c>
      <c r="I139" s="48"/>
      <c r="J139" s="48"/>
    </row>
    <row r="140" spans="1:10">
      <c r="A140">
        <f t="shared" si="13"/>
        <v>127</v>
      </c>
      <c r="B140" s="229">
        <f t="shared" ref="B140:B157" si="18">EOMONTH(B139,1)</f>
        <v>49979</v>
      </c>
      <c r="C140" s="60"/>
      <c r="D140" s="64">
        <f t="shared" si="15"/>
        <v>6100000</v>
      </c>
      <c r="E140" s="63">
        <f t="shared" si="16"/>
        <v>340000</v>
      </c>
      <c r="F140" s="64">
        <f t="shared" si="14"/>
        <v>42589.866666666661</v>
      </c>
      <c r="G140" s="63">
        <f t="shared" ref="G140:G156" si="19">E140+F140</f>
        <v>382589.86666666664</v>
      </c>
      <c r="H140">
        <f t="shared" si="17"/>
        <v>108</v>
      </c>
      <c r="I140" s="48"/>
      <c r="J140" s="48"/>
    </row>
    <row r="141" spans="1:10">
      <c r="A141">
        <f t="shared" si="13"/>
        <v>128</v>
      </c>
      <c r="B141" s="229">
        <f t="shared" si="18"/>
        <v>50009</v>
      </c>
      <c r="C141" s="60"/>
      <c r="D141" s="64">
        <f t="shared" si="15"/>
        <v>5760000</v>
      </c>
      <c r="E141" s="63">
        <f t="shared" si="16"/>
        <v>340000</v>
      </c>
      <c r="F141" s="64">
        <f t="shared" si="14"/>
        <v>39039.999999999993</v>
      </c>
      <c r="G141" s="63">
        <f t="shared" si="19"/>
        <v>379040</v>
      </c>
      <c r="H141">
        <f t="shared" si="17"/>
        <v>109</v>
      </c>
      <c r="I141" s="48"/>
      <c r="J141" s="48"/>
    </row>
    <row r="142" spans="1:10" s="230" customFormat="1">
      <c r="A142">
        <f t="shared" si="13"/>
        <v>129</v>
      </c>
      <c r="B142" s="231">
        <f t="shared" si="18"/>
        <v>50040</v>
      </c>
      <c r="C142" s="234"/>
      <c r="D142" s="233">
        <f t="shared" si="15"/>
        <v>5420000</v>
      </c>
      <c r="E142" s="232">
        <f t="shared" si="16"/>
        <v>340000</v>
      </c>
      <c r="F142" s="233">
        <f t="shared" si="14"/>
        <v>38092.799999999996</v>
      </c>
      <c r="G142" s="232">
        <f t="shared" si="19"/>
        <v>378092.79999999999</v>
      </c>
      <c r="H142" s="230">
        <f t="shared" si="17"/>
        <v>110</v>
      </c>
      <c r="I142" s="53">
        <f>SUM(E131:E142)</f>
        <v>4080000</v>
      </c>
      <c r="J142" s="53">
        <f>SUM(F131:F142)</f>
        <v>594957.8666666667</v>
      </c>
    </row>
    <row r="143" spans="1:10">
      <c r="A143">
        <f t="shared" ref="A143:A157" si="20">A142+1</f>
        <v>130</v>
      </c>
      <c r="B143" s="229">
        <f t="shared" si="18"/>
        <v>50071</v>
      </c>
      <c r="C143" s="60"/>
      <c r="D143" s="64">
        <f t="shared" si="15"/>
        <v>5080000</v>
      </c>
      <c r="E143" s="63">
        <f>E142</f>
        <v>340000</v>
      </c>
      <c r="F143" s="64">
        <f t="shared" si="14"/>
        <v>35844.266666666663</v>
      </c>
      <c r="G143" s="63">
        <f t="shared" si="19"/>
        <v>375844.26666666666</v>
      </c>
      <c r="H143">
        <f t="shared" si="17"/>
        <v>111</v>
      </c>
      <c r="I143" s="48"/>
      <c r="J143" s="48"/>
    </row>
    <row r="144" spans="1:10">
      <c r="A144">
        <f t="shared" si="20"/>
        <v>131</v>
      </c>
      <c r="B144" s="229">
        <f t="shared" si="18"/>
        <v>50099</v>
      </c>
      <c r="C144" s="60"/>
      <c r="D144" s="64">
        <f t="shared" si="15"/>
        <v>4740000</v>
      </c>
      <c r="E144" s="63">
        <f t="shared" si="16"/>
        <v>340000</v>
      </c>
      <c r="F144" s="64">
        <f t="shared" si="14"/>
        <v>30344.533333333333</v>
      </c>
      <c r="G144" s="63">
        <f t="shared" si="19"/>
        <v>370344.53333333333</v>
      </c>
      <c r="H144">
        <f t="shared" si="17"/>
        <v>112</v>
      </c>
      <c r="I144" s="48"/>
      <c r="J144" s="48"/>
    </row>
    <row r="145" spans="1:13">
      <c r="A145">
        <f t="shared" si="20"/>
        <v>132</v>
      </c>
      <c r="B145" s="229">
        <f t="shared" si="18"/>
        <v>50130</v>
      </c>
      <c r="C145" s="60"/>
      <c r="D145" s="64">
        <f t="shared" si="15"/>
        <v>4400000</v>
      </c>
      <c r="E145" s="63">
        <f t="shared" si="16"/>
        <v>340000</v>
      </c>
      <c r="F145" s="64">
        <f t="shared" si="14"/>
        <v>31347.200000000001</v>
      </c>
      <c r="G145" s="63">
        <f t="shared" si="19"/>
        <v>371347.20000000001</v>
      </c>
      <c r="H145">
        <f t="shared" si="17"/>
        <v>113</v>
      </c>
      <c r="I145" s="48"/>
      <c r="J145" s="48"/>
    </row>
    <row r="146" spans="1:13">
      <c r="A146">
        <f t="shared" si="20"/>
        <v>133</v>
      </c>
      <c r="B146" s="229">
        <f t="shared" si="18"/>
        <v>50160</v>
      </c>
      <c r="C146" s="60"/>
      <c r="D146" s="64">
        <f t="shared" si="15"/>
        <v>4060000</v>
      </c>
      <c r="E146" s="63">
        <f t="shared" si="16"/>
        <v>340000</v>
      </c>
      <c r="F146" s="64">
        <f t="shared" si="14"/>
        <v>28160</v>
      </c>
      <c r="G146" s="63">
        <f t="shared" si="19"/>
        <v>368160</v>
      </c>
      <c r="H146">
        <f t="shared" si="17"/>
        <v>114</v>
      </c>
      <c r="I146" s="48"/>
      <c r="J146" s="48"/>
    </row>
    <row r="147" spans="1:13" s="245" customFormat="1">
      <c r="A147">
        <f t="shared" si="20"/>
        <v>134</v>
      </c>
      <c r="B147" s="235">
        <f t="shared" si="18"/>
        <v>50191</v>
      </c>
      <c r="C147" s="236"/>
      <c r="D147" s="237">
        <f t="shared" si="15"/>
        <v>3720000</v>
      </c>
      <c r="E147" s="219">
        <f t="shared" si="16"/>
        <v>340000</v>
      </c>
      <c r="F147" s="237">
        <f t="shared" si="14"/>
        <v>26850.133333333335</v>
      </c>
      <c r="G147" s="219">
        <f t="shared" si="19"/>
        <v>366850.13333333336</v>
      </c>
      <c r="H147" s="245">
        <f t="shared" si="17"/>
        <v>115</v>
      </c>
      <c r="I147" s="54"/>
      <c r="J147" s="54"/>
    </row>
    <row r="148" spans="1:13" s="245" customFormat="1">
      <c r="A148">
        <f t="shared" si="20"/>
        <v>135</v>
      </c>
      <c r="B148" s="235">
        <f t="shared" si="18"/>
        <v>50221</v>
      </c>
      <c r="C148" s="236"/>
      <c r="D148" s="237">
        <f t="shared" si="15"/>
        <v>3380000</v>
      </c>
      <c r="E148" s="219">
        <f t="shared" si="16"/>
        <v>340000</v>
      </c>
      <c r="F148" s="237">
        <f t="shared" si="14"/>
        <v>23808</v>
      </c>
      <c r="G148" s="219">
        <f t="shared" si="19"/>
        <v>363808</v>
      </c>
      <c r="H148" s="245">
        <f t="shared" si="17"/>
        <v>116</v>
      </c>
      <c r="I148" s="54"/>
      <c r="J148" s="54"/>
    </row>
    <row r="149" spans="1:13">
      <c r="A149">
        <f t="shared" si="20"/>
        <v>136</v>
      </c>
      <c r="B149" s="235">
        <f t="shared" si="18"/>
        <v>50252</v>
      </c>
      <c r="C149" s="236"/>
      <c r="D149" s="237">
        <f t="shared" si="15"/>
        <v>3040000</v>
      </c>
      <c r="E149" s="219">
        <f t="shared" si="16"/>
        <v>340000</v>
      </c>
      <c r="F149" s="237">
        <f t="shared" si="14"/>
        <v>22353.066666666666</v>
      </c>
      <c r="G149" s="219">
        <f t="shared" si="19"/>
        <v>362353.06666666665</v>
      </c>
      <c r="H149">
        <f t="shared" si="17"/>
        <v>117</v>
      </c>
      <c r="I149" s="48"/>
      <c r="J149" s="48"/>
    </row>
    <row r="150" spans="1:13">
      <c r="A150">
        <f t="shared" si="20"/>
        <v>137</v>
      </c>
      <c r="B150" s="235">
        <f t="shared" si="18"/>
        <v>50283</v>
      </c>
      <c r="C150" s="236"/>
      <c r="D150" s="237">
        <f t="shared" si="15"/>
        <v>2700000</v>
      </c>
      <c r="E150" s="219">
        <f t="shared" si="16"/>
        <v>340000</v>
      </c>
      <c r="F150" s="237">
        <f t="shared" si="14"/>
        <v>20104.533333333329</v>
      </c>
      <c r="G150" s="219">
        <f t="shared" si="19"/>
        <v>360104.53333333333</v>
      </c>
      <c r="H150">
        <f t="shared" si="17"/>
        <v>118</v>
      </c>
      <c r="I150" s="48"/>
      <c r="J150" s="48"/>
      <c r="M150" s="52">
        <f>E150*122</f>
        <v>41480000</v>
      </c>
    </row>
    <row r="151" spans="1:13">
      <c r="A151">
        <f t="shared" si="20"/>
        <v>138</v>
      </c>
      <c r="B151" s="235">
        <f t="shared" si="18"/>
        <v>50313</v>
      </c>
      <c r="C151" s="236"/>
      <c r="D151" s="237">
        <f t="shared" si="15"/>
        <v>2360000</v>
      </c>
      <c r="E151" s="219">
        <f t="shared" si="16"/>
        <v>340000</v>
      </c>
      <c r="F151" s="237">
        <f t="shared" si="14"/>
        <v>17279.999999999996</v>
      </c>
      <c r="G151" s="219">
        <f t="shared" si="19"/>
        <v>357280</v>
      </c>
      <c r="H151">
        <f t="shared" si="17"/>
        <v>119</v>
      </c>
      <c r="I151" s="48"/>
      <c r="J151" s="48"/>
    </row>
    <row r="152" spans="1:13">
      <c r="A152">
        <f t="shared" si="20"/>
        <v>139</v>
      </c>
      <c r="B152" s="235">
        <f t="shared" si="18"/>
        <v>50344</v>
      </c>
      <c r="C152" s="236"/>
      <c r="D152" s="237">
        <f t="shared" si="15"/>
        <v>2020000</v>
      </c>
      <c r="E152" s="219">
        <f t="shared" si="16"/>
        <v>340000</v>
      </c>
      <c r="F152" s="237">
        <f t="shared" si="14"/>
        <v>15607.466666666667</v>
      </c>
      <c r="G152" s="219">
        <f t="shared" si="19"/>
        <v>355607.46666666667</v>
      </c>
      <c r="H152">
        <f t="shared" si="17"/>
        <v>120</v>
      </c>
      <c r="I152" s="48"/>
      <c r="J152" s="48"/>
    </row>
    <row r="153" spans="1:13">
      <c r="A153">
        <f t="shared" si="20"/>
        <v>140</v>
      </c>
      <c r="B153" s="235">
        <f t="shared" si="18"/>
        <v>50374</v>
      </c>
      <c r="C153" s="236"/>
      <c r="D153" s="237">
        <f t="shared" si="15"/>
        <v>1680000</v>
      </c>
      <c r="E153" s="219">
        <f t="shared" si="16"/>
        <v>340000</v>
      </c>
      <c r="F153" s="237">
        <f t="shared" ref="F153:F156" si="21">(B153-B152)*$D$4*D152/360</f>
        <v>12928</v>
      </c>
      <c r="G153" s="219">
        <f t="shared" si="19"/>
        <v>352928</v>
      </c>
      <c r="H153">
        <f t="shared" si="17"/>
        <v>121</v>
      </c>
      <c r="I153" s="48"/>
      <c r="J153" s="48"/>
    </row>
    <row r="154" spans="1:13" s="230" customFormat="1">
      <c r="A154">
        <f t="shared" si="20"/>
        <v>141</v>
      </c>
      <c r="B154" s="231">
        <f t="shared" si="18"/>
        <v>50405</v>
      </c>
      <c r="C154" s="234"/>
      <c r="D154" s="233">
        <f t="shared" si="15"/>
        <v>1340000</v>
      </c>
      <c r="E154" s="232">
        <f t="shared" si="16"/>
        <v>340000</v>
      </c>
      <c r="F154" s="233">
        <f t="shared" si="21"/>
        <v>11110.399999999998</v>
      </c>
      <c r="G154" s="232">
        <f t="shared" si="19"/>
        <v>351110.40000000002</v>
      </c>
      <c r="H154" s="230">
        <f t="shared" si="17"/>
        <v>122</v>
      </c>
      <c r="I154" s="53">
        <f>SUM(E143:E154)</f>
        <v>4080000</v>
      </c>
      <c r="J154" s="53">
        <f>SUM(F143:F154)</f>
        <v>275737.60000000003</v>
      </c>
    </row>
    <row r="155" spans="1:13">
      <c r="A155">
        <f t="shared" si="20"/>
        <v>142</v>
      </c>
      <c r="B155" s="235">
        <f t="shared" si="18"/>
        <v>50436</v>
      </c>
      <c r="C155" s="236"/>
      <c r="D155" s="237">
        <f t="shared" si="15"/>
        <v>1000000</v>
      </c>
      <c r="E155" s="219">
        <f>E154</f>
        <v>340000</v>
      </c>
      <c r="F155" s="237">
        <f t="shared" si="21"/>
        <v>8861.866666666665</v>
      </c>
      <c r="G155" s="219">
        <f t="shared" si="19"/>
        <v>348861.86666666664</v>
      </c>
      <c r="H155" s="245">
        <f t="shared" si="17"/>
        <v>123</v>
      </c>
      <c r="I155" s="48"/>
      <c r="J155" s="48"/>
    </row>
    <row r="156" spans="1:13">
      <c r="A156">
        <f t="shared" si="20"/>
        <v>143</v>
      </c>
      <c r="B156" s="235">
        <f t="shared" si="18"/>
        <v>50464</v>
      </c>
      <c r="C156" s="236"/>
      <c r="D156" s="237">
        <f t="shared" si="15"/>
        <v>660000</v>
      </c>
      <c r="E156" s="219">
        <f>E155</f>
        <v>340000</v>
      </c>
      <c r="F156" s="237">
        <f t="shared" si="21"/>
        <v>5973.333333333333</v>
      </c>
      <c r="G156" s="219">
        <f t="shared" si="19"/>
        <v>345973.33333333331</v>
      </c>
      <c r="H156" s="245">
        <f t="shared" si="17"/>
        <v>124</v>
      </c>
      <c r="I156" s="48">
        <f>SUM(E155:E157)</f>
        <v>1000000</v>
      </c>
      <c r="J156" s="48">
        <f>SUM(F155:F157)</f>
        <v>19199.999999999996</v>
      </c>
    </row>
    <row r="157" spans="1:13">
      <c r="A157">
        <f t="shared" si="20"/>
        <v>144</v>
      </c>
      <c r="B157" s="235">
        <f t="shared" si="18"/>
        <v>50495</v>
      </c>
      <c r="C157" s="236"/>
      <c r="D157" s="237">
        <f t="shared" ref="D157" si="22">D156-E156</f>
        <v>320000</v>
      </c>
      <c r="E157" s="219">
        <f>E156-20000</f>
        <v>320000</v>
      </c>
      <c r="F157" s="237">
        <f t="shared" ref="F157" si="23">(B157-B156)*$D$4*D156/360</f>
        <v>4364.7999999999993</v>
      </c>
      <c r="G157" s="219">
        <f t="shared" ref="G157" si="24">E157+F157</f>
        <v>324364.79999999999</v>
      </c>
      <c r="H157" s="245">
        <f t="shared" si="17"/>
        <v>125</v>
      </c>
      <c r="I157" s="48"/>
      <c r="J157" s="48"/>
    </row>
    <row r="158" spans="1:13">
      <c r="B158" s="239" t="s">
        <v>32</v>
      </c>
      <c r="C158" s="240">
        <f>SUM(C9:C148)</f>
        <v>22000000</v>
      </c>
      <c r="D158" s="239"/>
      <c r="E158" s="241">
        <f>SUM(E31:E157)</f>
        <v>22000000</v>
      </c>
      <c r="F158" s="241">
        <f>SUM(F14:F157)</f>
        <v>13317751.466666672</v>
      </c>
      <c r="G158" s="241">
        <f>SUM(G14:G156)</f>
        <v>34992213.333333336</v>
      </c>
      <c r="I158" s="48"/>
      <c r="J158" s="48"/>
      <c r="M158">
        <f>144-20</f>
        <v>124</v>
      </c>
    </row>
    <row r="159" spans="1:13">
      <c r="I159" s="52">
        <f>SUM(I21:I158)</f>
        <v>22000000</v>
      </c>
      <c r="J159" s="52">
        <f>SUM(J21:J158)</f>
        <v>13317751.466666667</v>
      </c>
    </row>
    <row r="163" spans="9:10">
      <c r="I163">
        <f>700000/14</f>
        <v>50000</v>
      </c>
    </row>
    <row r="166" spans="9:10">
      <c r="J166">
        <f>144-82</f>
        <v>62</v>
      </c>
    </row>
    <row r="167" spans="9:10">
      <c r="J167">
        <f>2720000/62</f>
        <v>43870.967741935485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S36"/>
  <sheetViews>
    <sheetView view="pageBreakPreview" topLeftCell="A8" zoomScale="85" zoomScaleNormal="100" zoomScaleSheetLayoutView="85" workbookViewId="0">
      <selection activeCell="K20" sqref="K20"/>
    </sheetView>
  </sheetViews>
  <sheetFormatPr defaultColWidth="9.109375" defaultRowHeight="13.2"/>
  <cols>
    <col min="1" max="1" width="3.6640625" style="1" customWidth="1"/>
    <col min="2" max="2" width="24.6640625" style="2" customWidth="1"/>
    <col min="3" max="3" width="12.33203125" style="2" customWidth="1"/>
    <col min="4" max="4" width="12.44140625" style="2" customWidth="1"/>
    <col min="5" max="5" width="11.88671875" style="2" customWidth="1"/>
    <col min="6" max="16" width="10.33203125" style="2" customWidth="1"/>
    <col min="17" max="17" width="11" style="2" customWidth="1"/>
    <col min="18" max="18" width="10.6640625" style="2" customWidth="1"/>
    <col min="19" max="20" width="11.44140625" style="2" bestFit="1" customWidth="1"/>
    <col min="21" max="21" width="9.109375" style="2"/>
    <col min="22" max="23" width="11.6640625" style="2" bestFit="1" customWidth="1"/>
    <col min="24" max="24" width="10.5546875" style="2" bestFit="1" customWidth="1"/>
    <col min="25" max="16384" width="9.109375" style="2"/>
  </cols>
  <sheetData>
    <row r="1" spans="1:19" ht="18" customHeight="1">
      <c r="A1" s="298" t="s">
        <v>47</v>
      </c>
      <c r="B1" s="298"/>
      <c r="L1" s="306"/>
      <c r="M1" s="306"/>
    </row>
    <row r="2" spans="1:19" ht="12.75" customHeight="1">
      <c r="A2" s="298" t="s">
        <v>48</v>
      </c>
      <c r="B2" s="298"/>
    </row>
    <row r="3" spans="1:19" ht="12.75" customHeight="1">
      <c r="A3" s="298" t="s">
        <v>49</v>
      </c>
      <c r="B3" s="298"/>
      <c r="J3" s="55"/>
      <c r="N3" s="255" t="s">
        <v>123</v>
      </c>
    </row>
    <row r="4" spans="1:19">
      <c r="A4" s="298"/>
      <c r="B4" s="298"/>
      <c r="J4" s="55"/>
    </row>
    <row r="5" spans="1:19" ht="12.75" customHeight="1">
      <c r="D5" s="307"/>
      <c r="E5" s="307"/>
      <c r="F5" s="307"/>
      <c r="G5" s="307"/>
      <c r="H5" s="307"/>
      <c r="J5" s="55"/>
    </row>
    <row r="6" spans="1:19" ht="16.5" customHeight="1">
      <c r="D6" s="307"/>
      <c r="E6" s="307"/>
      <c r="F6" s="307"/>
      <c r="G6" s="307"/>
      <c r="H6" s="307"/>
    </row>
    <row r="7" spans="1:19">
      <c r="D7" s="307"/>
      <c r="E7" s="307"/>
      <c r="F7" s="307"/>
      <c r="G7" s="307"/>
      <c r="H7" s="307"/>
    </row>
    <row r="8" spans="1:19">
      <c r="C8" s="3"/>
      <c r="D8" s="5"/>
      <c r="E8" s="5"/>
      <c r="F8" s="5"/>
      <c r="G8" s="5"/>
      <c r="H8" s="5"/>
    </row>
    <row r="9" spans="1:19">
      <c r="D9" s="5"/>
      <c r="E9" s="5"/>
      <c r="F9" s="5"/>
      <c r="G9" s="5"/>
      <c r="H9" s="5"/>
    </row>
    <row r="10" spans="1:19">
      <c r="D10" s="5"/>
      <c r="E10" s="5"/>
      <c r="F10" s="5"/>
      <c r="G10" s="5"/>
      <c r="H10" s="5"/>
    </row>
    <row r="11" spans="1:19" ht="17.399999999999999">
      <c r="A11" s="305" t="s">
        <v>122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</row>
    <row r="12" spans="1:19" ht="16.8">
      <c r="A12" s="304" t="s">
        <v>128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</row>
    <row r="13" spans="1:19" ht="17.399999999999999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</row>
    <row r="15" spans="1:19" ht="12.75" customHeight="1">
      <c r="A15" s="299" t="s">
        <v>139</v>
      </c>
      <c r="B15" s="300" t="s">
        <v>1</v>
      </c>
      <c r="C15" s="301" t="s">
        <v>144</v>
      </c>
      <c r="D15" s="301" t="s">
        <v>147</v>
      </c>
      <c r="E15" s="301" t="s">
        <v>151</v>
      </c>
      <c r="F15" s="308" t="s">
        <v>465</v>
      </c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9" ht="26.25" customHeight="1">
      <c r="A16" s="299"/>
      <c r="B16" s="300"/>
      <c r="C16" s="302"/>
      <c r="D16" s="302"/>
      <c r="E16" s="302"/>
      <c r="F16" s="308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4"/>
    </row>
    <row r="17" spans="1:19">
      <c r="A17" s="299"/>
      <c r="B17" s="300"/>
      <c r="C17" s="302"/>
      <c r="D17" s="302"/>
      <c r="E17" s="302"/>
      <c r="F17" s="308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4"/>
    </row>
    <row r="18" spans="1:19">
      <c r="A18" s="299"/>
      <c r="B18" s="300"/>
      <c r="C18" s="303"/>
      <c r="D18" s="303"/>
      <c r="E18" s="303"/>
      <c r="F18" s="204">
        <v>2026</v>
      </c>
      <c r="G18" s="204">
        <f t="shared" ref="G18:N19" si="0">F18+1</f>
        <v>2027</v>
      </c>
      <c r="H18" s="204">
        <f t="shared" si="0"/>
        <v>2028</v>
      </c>
      <c r="I18" s="204">
        <f t="shared" si="0"/>
        <v>2029</v>
      </c>
      <c r="J18" s="204">
        <f t="shared" si="0"/>
        <v>2030</v>
      </c>
      <c r="K18" s="204">
        <f t="shared" si="0"/>
        <v>2031</v>
      </c>
      <c r="L18" s="204">
        <f t="shared" si="0"/>
        <v>2032</v>
      </c>
      <c r="M18" s="204">
        <f t="shared" si="0"/>
        <v>2033</v>
      </c>
      <c r="N18" s="204">
        <f t="shared" si="0"/>
        <v>2034</v>
      </c>
      <c r="O18" s="204">
        <f t="shared" ref="O18:O19" si="1">N18+1</f>
        <v>2035</v>
      </c>
      <c r="P18" s="204">
        <f t="shared" ref="P18:P19" si="2">O18+1</f>
        <v>2036</v>
      </c>
      <c r="Q18" s="204">
        <f t="shared" ref="Q18:Q19" si="3">P18+1</f>
        <v>2037</v>
      </c>
      <c r="R18" s="204">
        <f t="shared" ref="R18:R19" si="4">Q18+1</f>
        <v>2038</v>
      </c>
    </row>
    <row r="19" spans="1:19">
      <c r="A19" s="117">
        <v>0</v>
      </c>
      <c r="B19" s="118" t="s">
        <v>3</v>
      </c>
      <c r="C19" s="118">
        <v>1</v>
      </c>
      <c r="D19" s="118">
        <v>2</v>
      </c>
      <c r="E19" s="118">
        <v>3</v>
      </c>
      <c r="F19" s="118">
        <v>4</v>
      </c>
      <c r="G19" s="118">
        <f t="shared" si="0"/>
        <v>5</v>
      </c>
      <c r="H19" s="118">
        <f t="shared" si="0"/>
        <v>6</v>
      </c>
      <c r="I19" s="118">
        <f t="shared" si="0"/>
        <v>7</v>
      </c>
      <c r="J19" s="118">
        <f t="shared" si="0"/>
        <v>8</v>
      </c>
      <c r="K19" s="118">
        <f t="shared" si="0"/>
        <v>9</v>
      </c>
      <c r="L19" s="118">
        <f t="shared" si="0"/>
        <v>10</v>
      </c>
      <c r="M19" s="118">
        <f t="shared" si="0"/>
        <v>11</v>
      </c>
      <c r="N19" s="118">
        <f t="shared" si="0"/>
        <v>12</v>
      </c>
      <c r="O19" s="118">
        <f t="shared" si="1"/>
        <v>13</v>
      </c>
      <c r="P19" s="118">
        <f t="shared" si="2"/>
        <v>14</v>
      </c>
      <c r="Q19" s="118">
        <f t="shared" si="3"/>
        <v>15</v>
      </c>
      <c r="R19" s="118">
        <f t="shared" si="4"/>
        <v>16</v>
      </c>
    </row>
    <row r="20" spans="1:19">
      <c r="A20" s="117">
        <v>1</v>
      </c>
      <c r="B20" s="6" t="s">
        <v>4</v>
      </c>
      <c r="C20" s="7">
        <f>'grad indatorare'!C19/1000</f>
        <v>42354.987529999999</v>
      </c>
      <c r="D20" s="7">
        <v>45838.29</v>
      </c>
      <c r="E20" s="7">
        <f>'grad indatorare'!E19/1000</f>
        <v>56900.913940000028</v>
      </c>
      <c r="F20" s="7">
        <f>SUM(C20:E20)/3</f>
        <v>48364.730490000009</v>
      </c>
      <c r="G20" s="7">
        <f t="shared" ref="G20:N21" si="5">F20</f>
        <v>48364.730490000009</v>
      </c>
      <c r="H20" s="7">
        <f t="shared" si="5"/>
        <v>48364.730490000009</v>
      </c>
      <c r="I20" s="7">
        <f t="shared" si="5"/>
        <v>48364.730490000009</v>
      </c>
      <c r="J20" s="7">
        <f t="shared" si="5"/>
        <v>48364.730490000009</v>
      </c>
      <c r="K20" s="7">
        <f t="shared" si="5"/>
        <v>48364.730490000009</v>
      </c>
      <c r="L20" s="7">
        <f t="shared" si="5"/>
        <v>48364.730490000009</v>
      </c>
      <c r="M20" s="7">
        <f t="shared" si="5"/>
        <v>48364.730490000009</v>
      </c>
      <c r="N20" s="7">
        <f t="shared" si="5"/>
        <v>48364.730490000009</v>
      </c>
      <c r="O20" s="7">
        <f t="shared" ref="O20:O21" si="6">N20</f>
        <v>48364.730490000009</v>
      </c>
      <c r="P20" s="7">
        <f t="shared" ref="P20:P21" si="7">O20</f>
        <v>48364.730490000009</v>
      </c>
      <c r="Q20" s="7">
        <f t="shared" ref="Q20:Q21" si="8">P20</f>
        <v>48364.730490000009</v>
      </c>
      <c r="R20" s="7">
        <f t="shared" ref="R20:R21" si="9">Q20</f>
        <v>48364.730490000009</v>
      </c>
    </row>
    <row r="21" spans="1:19" ht="26.4">
      <c r="A21" s="117">
        <v>2</v>
      </c>
      <c r="B21" s="9" t="s">
        <v>53</v>
      </c>
      <c r="C21" s="7">
        <f>C20*0.3</f>
        <v>12706.496259</v>
      </c>
      <c r="D21" s="7">
        <f>D20*0.3</f>
        <v>13751.486999999999</v>
      </c>
      <c r="E21" s="7">
        <f>E20*0.3</f>
        <v>17070.274182000008</v>
      </c>
      <c r="F21" s="7">
        <f>F20*0.3</f>
        <v>14509.419147000002</v>
      </c>
      <c r="G21" s="7">
        <f t="shared" si="5"/>
        <v>14509.419147000002</v>
      </c>
      <c r="H21" s="7">
        <f t="shared" si="5"/>
        <v>14509.419147000002</v>
      </c>
      <c r="I21" s="7">
        <f t="shared" si="5"/>
        <v>14509.419147000002</v>
      </c>
      <c r="J21" s="7">
        <f t="shared" si="5"/>
        <v>14509.419147000002</v>
      </c>
      <c r="K21" s="7">
        <f t="shared" si="5"/>
        <v>14509.419147000002</v>
      </c>
      <c r="L21" s="7">
        <f t="shared" si="5"/>
        <v>14509.419147000002</v>
      </c>
      <c r="M21" s="7">
        <f t="shared" si="5"/>
        <v>14509.419147000002</v>
      </c>
      <c r="N21" s="7">
        <f t="shared" si="5"/>
        <v>14509.419147000002</v>
      </c>
      <c r="O21" s="7">
        <f t="shared" si="6"/>
        <v>14509.419147000002</v>
      </c>
      <c r="P21" s="7">
        <f t="shared" si="7"/>
        <v>14509.419147000002</v>
      </c>
      <c r="Q21" s="7">
        <f t="shared" si="8"/>
        <v>14509.419147000002</v>
      </c>
      <c r="R21" s="7">
        <f t="shared" si="9"/>
        <v>14509.419147000002</v>
      </c>
    </row>
    <row r="22" spans="1:19" ht="39.6">
      <c r="A22" s="117">
        <v>3</v>
      </c>
      <c r="B22" s="9" t="s">
        <v>50</v>
      </c>
      <c r="C22" s="7"/>
      <c r="D22" s="7"/>
      <c r="E22" s="7"/>
      <c r="F22" s="145">
        <f>SUM(F23:F25)</f>
        <v>10213.033939232497</v>
      </c>
      <c r="G22" s="145">
        <f t="shared" ref="G22:N22" si="10">SUM(G23:G25)</f>
        <v>11482.337824898736</v>
      </c>
      <c r="H22" s="145">
        <f t="shared" si="10"/>
        <v>12401.175186477358</v>
      </c>
      <c r="I22" s="145">
        <f t="shared" si="10"/>
        <v>11987.886562342323</v>
      </c>
      <c r="J22" s="145">
        <f t="shared" si="10"/>
        <v>11776.344831341892</v>
      </c>
      <c r="K22" s="145">
        <f t="shared" si="10"/>
        <v>11732.379902563685</v>
      </c>
      <c r="L22" s="145">
        <f t="shared" si="10"/>
        <v>11278.758260856386</v>
      </c>
      <c r="M22" s="145">
        <f t="shared" si="10"/>
        <v>10489.401415555556</v>
      </c>
      <c r="N22" s="145">
        <f t="shared" si="10"/>
        <v>9514.2250877777769</v>
      </c>
      <c r="O22" s="145">
        <f t="shared" ref="O22" si="11">SUM(O23:O25)</f>
        <v>9084.141293333334</v>
      </c>
      <c r="P22" s="145">
        <f t="shared" ref="P22:R22" si="12">SUM(P23:P25)</f>
        <v>6850.7570444444445</v>
      </c>
      <c r="Q22" s="145">
        <f t="shared" si="12"/>
        <v>4355.7376000000004</v>
      </c>
      <c r="R22" s="145">
        <f t="shared" si="12"/>
        <v>1019.2</v>
      </c>
      <c r="S22" s="416">
        <f>SUM(F22:R22)</f>
        <v>122185.37894882397</v>
      </c>
    </row>
    <row r="23" spans="1:19">
      <c r="A23" s="117">
        <v>4</v>
      </c>
      <c r="B23" s="9" t="s">
        <v>46</v>
      </c>
      <c r="C23" s="7"/>
      <c r="D23" s="7"/>
      <c r="E23" s="7"/>
      <c r="F23" s="7">
        <f>'centralizare credite'!F38/1000</f>
        <v>5769.0468583050852</v>
      </c>
      <c r="G23" s="7">
        <f>'centralizare credite'!G38/1000</f>
        <v>6740.1579694161965</v>
      </c>
      <c r="H23" s="7">
        <f>'centralizare credite'!H38/1000</f>
        <v>7180.1579694161965</v>
      </c>
      <c r="I23" s="7">
        <f>'centralizare credite'!I38/1000</f>
        <v>7300.1579694161965</v>
      </c>
      <c r="J23" s="7">
        <f>'centralizare credite'!J38/1000</f>
        <v>7620.1579694161965</v>
      </c>
      <c r="K23" s="7">
        <f>'centralizare credite'!K38/1000</f>
        <v>8140.1579694161965</v>
      </c>
      <c r="L23" s="7">
        <f>'centralizare credite'!L38/1000</f>
        <v>8270.5462274952915</v>
      </c>
      <c r="M23" s="7">
        <f>'centralizare credite'!M38/1000</f>
        <v>8081.1111111111113</v>
      </c>
      <c r="N23" s="7">
        <f>'centralizare credite'!N38/1000</f>
        <v>7718.1944111111106</v>
      </c>
      <c r="O23" s="7">
        <f>'centralizare credite'!O38/1000</f>
        <v>7851.1111111111113</v>
      </c>
      <c r="P23" s="7">
        <f>'centralizare credite'!P38/1000</f>
        <v>6200</v>
      </c>
      <c r="Q23" s="7">
        <f>'centralizare credite'!Q38/1000</f>
        <v>4080</v>
      </c>
      <c r="R23" s="7">
        <f>'centralizare credite'!R38/1000</f>
        <v>1000</v>
      </c>
    </row>
    <row r="24" spans="1:19">
      <c r="A24" s="117">
        <v>5</v>
      </c>
      <c r="B24" s="9" t="s">
        <v>8</v>
      </c>
      <c r="C24" s="7"/>
      <c r="D24" s="7"/>
      <c r="E24" s="7"/>
      <c r="F24" s="7">
        <f>'centralizare credite'!F39/1000</f>
        <v>4443.9870809274125</v>
      </c>
      <c r="G24" s="7">
        <f>'centralizare credite'!G39/1000</f>
        <v>4742.1798554825391</v>
      </c>
      <c r="H24" s="7">
        <f>'centralizare credite'!H39/1000</f>
        <v>5221.0172170611613</v>
      </c>
      <c r="I24" s="7">
        <f>'centralizare credite'!I39/1000</f>
        <v>4687.7285929261261</v>
      </c>
      <c r="J24" s="7">
        <f>'centralizare credite'!J39/1000</f>
        <v>4156.1868619256957</v>
      </c>
      <c r="K24" s="7">
        <f>'centralizare credite'!K39/1000</f>
        <v>3592.2219331474885</v>
      </c>
      <c r="L24" s="7">
        <f>'centralizare credite'!L39/1000</f>
        <v>3008.2120333610951</v>
      </c>
      <c r="M24" s="7">
        <f>'centralizare credite'!M39/1000</f>
        <v>2408.2903044444442</v>
      </c>
      <c r="N24" s="7">
        <f>'centralizare credite'!N39/1000</f>
        <v>1796.0306766666665</v>
      </c>
      <c r="O24" s="7">
        <f>'centralizare credite'!O39/1000</f>
        <v>1233.0301822222225</v>
      </c>
      <c r="P24" s="7">
        <f>'centralizare credite'!P39/1000</f>
        <v>650.75704444444443</v>
      </c>
      <c r="Q24" s="7">
        <f>'centralizare credite'!Q39/1000</f>
        <v>275.73760000000004</v>
      </c>
      <c r="R24" s="7">
        <f>'centralizare credite'!R39/1000</f>
        <v>19.199999999999996</v>
      </c>
    </row>
    <row r="25" spans="1:19">
      <c r="A25" s="117">
        <v>6</v>
      </c>
      <c r="B25" s="9" t="s">
        <v>9</v>
      </c>
      <c r="C25" s="7"/>
      <c r="D25" s="7"/>
      <c r="E25" s="7"/>
      <c r="F25" s="7">
        <f>'centralizare credite'!F40/1000</f>
        <v>0</v>
      </c>
      <c r="G25" s="7">
        <f>'centralizare credite'!G40/1000</f>
        <v>0</v>
      </c>
      <c r="H25" s="7">
        <f>'centralizare credite'!H40/1000</f>
        <v>0</v>
      </c>
      <c r="I25" s="7">
        <f>'centralizare credite'!I40/1000</f>
        <v>0</v>
      </c>
      <c r="J25" s="7">
        <f>'centralizare credite'!J40/1000</f>
        <v>0</v>
      </c>
      <c r="K25" s="7">
        <f>'centralizare credite'!K40/1000</f>
        <v>0</v>
      </c>
      <c r="L25" s="7">
        <f>'centralizare credite'!L40/1000</f>
        <v>0</v>
      </c>
      <c r="M25" s="7">
        <f>'centralizare credite'!M40/1000</f>
        <v>0</v>
      </c>
      <c r="N25" s="7">
        <f>'centralizare credite'!N40/1000</f>
        <v>0</v>
      </c>
      <c r="O25" s="7">
        <f>'centralizare credite'!O40/1000</f>
        <v>0</v>
      </c>
      <c r="P25" s="7">
        <f>'centralizare credite'!P40/1000</f>
        <v>0</v>
      </c>
      <c r="Q25" s="7">
        <f>'centralizare credite'!Q40/1000</f>
        <v>0</v>
      </c>
      <c r="R25" s="7">
        <f>'centralizare credite'!R40/1000</f>
        <v>0</v>
      </c>
    </row>
    <row r="26" spans="1:19" ht="39.6">
      <c r="A26" s="126">
        <v>7</v>
      </c>
      <c r="B26" s="207" t="s">
        <v>10</v>
      </c>
      <c r="C26" s="127"/>
      <c r="D26" s="127"/>
      <c r="E26" s="127"/>
      <c r="F26" s="128">
        <f>F22/F20</f>
        <v>0.21116697717036104</v>
      </c>
      <c r="G26" s="128">
        <f t="shared" ref="G26:N26" si="13">G22/G20</f>
        <v>0.23741138860006358</v>
      </c>
      <c r="H26" s="128">
        <f t="shared" si="13"/>
        <v>0.25640947568272815</v>
      </c>
      <c r="I26" s="128">
        <f>I22/I20</f>
        <v>0.24786422752466206</v>
      </c>
      <c r="J26" s="128">
        <f t="shared" si="13"/>
        <v>0.24349034331488301</v>
      </c>
      <c r="K26" s="128">
        <f t="shared" si="13"/>
        <v>0.24258131460051238</v>
      </c>
      <c r="L26" s="128">
        <f t="shared" si="13"/>
        <v>0.23320213193761941</v>
      </c>
      <c r="M26" s="128">
        <f t="shared" si="13"/>
        <v>0.21688121300964069</v>
      </c>
      <c r="N26" s="128">
        <f t="shared" si="13"/>
        <v>0.19671824884344094</v>
      </c>
      <c r="O26" s="128">
        <f t="shared" ref="O26" si="14">O22/O20</f>
        <v>0.1878257399823946</v>
      </c>
      <c r="P26" s="128">
        <f t="shared" ref="P26:R26" si="15">P22/P20</f>
        <v>0.14164778703482947</v>
      </c>
      <c r="Q26" s="128">
        <f t="shared" si="15"/>
        <v>9.0060206184765193E-2</v>
      </c>
      <c r="R26" s="128">
        <f t="shared" si="15"/>
        <v>2.1073207473175766E-2</v>
      </c>
    </row>
    <row r="27" spans="1:19" ht="26.4" hidden="1">
      <c r="A27" s="117">
        <v>8</v>
      </c>
      <c r="B27" s="9" t="s">
        <v>52</v>
      </c>
    </row>
    <row r="28" spans="1:19" s="242" customFormat="1" ht="15" customHeight="1">
      <c r="A28" s="297" t="str">
        <f>'anexa 1.4'!B56</f>
        <v>date financiare valabile in data de 23.02.2026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</row>
    <row r="29" spans="1:19" s="242" customFormat="1">
      <c r="A29" s="243"/>
      <c r="F29" s="244"/>
      <c r="G29" s="244"/>
      <c r="H29" s="244"/>
      <c r="I29" s="244"/>
      <c r="J29" s="244"/>
      <c r="K29" s="244"/>
      <c r="L29" s="244"/>
      <c r="M29" s="244"/>
      <c r="N29" s="244"/>
    </row>
    <row r="30" spans="1:19" ht="12.75" customHeight="1">
      <c r="A30" s="311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10"/>
      <c r="O30" s="10"/>
    </row>
    <row r="31" spans="1:19" ht="12.75" customHeight="1">
      <c r="A31" s="311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O31" s="10"/>
    </row>
    <row r="32" spans="1:19" ht="12.75" customHeight="1">
      <c r="A32" s="312"/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</row>
    <row r="33" spans="1:15" ht="12.75" customHeight="1">
      <c r="A33" s="121"/>
      <c r="B33" s="121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7"/>
      <c r="O33" s="257"/>
    </row>
    <row r="34" spans="1:15" ht="15">
      <c r="C34" s="314" t="str">
        <f>'anexa 1.4'!F57</f>
        <v>Robert-Nicolae Serban</v>
      </c>
      <c r="D34" s="314"/>
      <c r="E34" s="314"/>
      <c r="F34" s="313"/>
      <c r="G34" s="313"/>
      <c r="H34" s="313"/>
      <c r="I34" s="259"/>
      <c r="J34" s="257"/>
      <c r="K34" s="257">
        <f>'anexa 1.4'!L57</f>
        <v>0</v>
      </c>
      <c r="L34" s="257"/>
      <c r="M34" s="257"/>
      <c r="N34" s="257"/>
      <c r="O34" s="257"/>
    </row>
    <row r="35" spans="1:15" ht="15">
      <c r="C35" s="314" t="str">
        <f>'anexa 1.4'!F58</f>
        <v>Primar</v>
      </c>
      <c r="D35" s="314"/>
      <c r="E35" s="314"/>
      <c r="F35" s="258"/>
      <c r="G35" s="258"/>
      <c r="H35" s="258"/>
      <c r="I35" s="257"/>
      <c r="J35" s="257"/>
      <c r="K35" s="257" t="str">
        <f>'anexa 1.4'!L58</f>
        <v>Director economic</v>
      </c>
      <c r="L35" s="257"/>
      <c r="M35" s="257"/>
      <c r="N35" s="257"/>
      <c r="O35" s="257"/>
    </row>
    <row r="36" spans="1:15">
      <c r="C36" s="120"/>
      <c r="D36" s="310"/>
      <c r="E36" s="310"/>
      <c r="F36" s="310"/>
      <c r="G36" s="310"/>
      <c r="H36" s="310"/>
    </row>
  </sheetData>
  <mergeCells count="23">
    <mergeCell ref="D36:E36"/>
    <mergeCell ref="F36:H36"/>
    <mergeCell ref="A30:M30"/>
    <mergeCell ref="A31:M31"/>
    <mergeCell ref="A32:M32"/>
    <mergeCell ref="F34:H34"/>
    <mergeCell ref="C34:E34"/>
    <mergeCell ref="C35:E35"/>
    <mergeCell ref="A28:O28"/>
    <mergeCell ref="A1:B1"/>
    <mergeCell ref="A15:A18"/>
    <mergeCell ref="B15:B18"/>
    <mergeCell ref="C15:C18"/>
    <mergeCell ref="D15:D18"/>
    <mergeCell ref="E15:E18"/>
    <mergeCell ref="A12:P12"/>
    <mergeCell ref="A11:P11"/>
    <mergeCell ref="L1:M1"/>
    <mergeCell ref="A2:B2"/>
    <mergeCell ref="A3:B3"/>
    <mergeCell ref="A4:B4"/>
    <mergeCell ref="D5:H7"/>
    <mergeCell ref="F15:R17"/>
  </mergeCells>
  <pageMargins left="0.5" right="0" top="0.59055118110236204" bottom="0.39370078740157499" header="0.511811023622047" footer="0.511811023622047"/>
  <pageSetup scale="65" orientation="landscape" r:id="rId1"/>
  <headerFooter alignWithMargins="0">
    <oddFooter>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3:V45"/>
  <sheetViews>
    <sheetView topLeftCell="A22" workbookViewId="0">
      <selection activeCell="F33" sqref="F33"/>
    </sheetView>
  </sheetViews>
  <sheetFormatPr defaultRowHeight="14.4"/>
  <cols>
    <col min="4" max="4" width="5.44140625" customWidth="1"/>
    <col min="5" max="5" width="13.33203125" style="230" hidden="1" customWidth="1"/>
    <col min="6" max="6" width="13.6640625" bestFit="1" customWidth="1"/>
    <col min="7" max="9" width="13.33203125" bestFit="1" customWidth="1"/>
    <col min="10" max="10" width="13.6640625" style="246" bestFit="1" customWidth="1"/>
    <col min="11" max="14" width="13.33203125" bestFit="1" customWidth="1"/>
    <col min="15" max="18" width="12.5546875" bestFit="1" customWidth="1"/>
    <col min="19" max="19" width="11.5546875" customWidth="1"/>
    <col min="20" max="20" width="14.33203125" bestFit="1" customWidth="1"/>
    <col min="22" max="22" width="14.6640625" bestFit="1" customWidth="1"/>
  </cols>
  <sheetData>
    <row r="3" spans="1:20">
      <c r="E3" s="230">
        <v>2025</v>
      </c>
      <c r="F3">
        <f t="shared" ref="F3:G3" si="0">E3+1</f>
        <v>2026</v>
      </c>
      <c r="G3">
        <f t="shared" si="0"/>
        <v>2027</v>
      </c>
      <c r="H3">
        <f t="shared" ref="H3" si="1">G3+1</f>
        <v>2028</v>
      </c>
      <c r="I3">
        <f t="shared" ref="I3" si="2">H3+1</f>
        <v>2029</v>
      </c>
      <c r="J3" s="246">
        <f t="shared" ref="J3" si="3">I3+1</f>
        <v>2030</v>
      </c>
      <c r="K3">
        <f t="shared" ref="K3:L3" si="4">J3+1</f>
        <v>2031</v>
      </c>
      <c r="L3">
        <f t="shared" si="4"/>
        <v>2032</v>
      </c>
      <c r="M3">
        <f t="shared" ref="M3" si="5">L3+1</f>
        <v>2033</v>
      </c>
      <c r="N3">
        <f t="shared" ref="N3" si="6">M3+1</f>
        <v>2034</v>
      </c>
      <c r="O3">
        <f t="shared" ref="O3" si="7">N3+1</f>
        <v>2035</v>
      </c>
      <c r="P3">
        <f t="shared" ref="P3" si="8">O3+1</f>
        <v>2036</v>
      </c>
      <c r="Q3">
        <v>2037</v>
      </c>
      <c r="R3">
        <v>2038</v>
      </c>
    </row>
    <row r="4" spans="1:20">
      <c r="A4" t="s">
        <v>81</v>
      </c>
      <c r="E4" s="53">
        <f t="shared" ref="E4:G4" si="9">E5+E6+E7</f>
        <v>2424917.4902329273</v>
      </c>
      <c r="F4" s="48">
        <f t="shared" si="9"/>
        <v>2311979.1086769425</v>
      </c>
      <c r="G4" s="48">
        <f t="shared" si="9"/>
        <v>2199040.7271209578</v>
      </c>
      <c r="H4" s="48">
        <f t="shared" ref="H4:K4" si="10">H5+H6+H7</f>
        <v>2087365.8114773573</v>
      </c>
      <c r="I4" s="48">
        <f t="shared" si="10"/>
        <v>1973163.9640089881</v>
      </c>
      <c r="J4" s="264">
        <f t="shared" si="10"/>
        <v>1860225.5824530034</v>
      </c>
      <c r="K4" s="48">
        <f t="shared" si="10"/>
        <v>1747287.2008970184</v>
      </c>
      <c r="L4" s="48">
        <f t="shared" ref="L4" si="11">L5+L6+L7</f>
        <v>280268.79307860904</v>
      </c>
      <c r="T4" s="52">
        <f>T5+T6</f>
        <v>12459331.187712878</v>
      </c>
    </row>
    <row r="5" spans="1:20">
      <c r="A5" t="s">
        <v>14</v>
      </c>
      <c r="E5" s="53">
        <f>'Eximbank 4'!T10</f>
        <v>1667534.138305085</v>
      </c>
      <c r="F5" s="54">
        <f>'Eximbank 4'!U10</f>
        <v>1667534.138305085</v>
      </c>
      <c r="G5" s="54">
        <f>'Eximbank 4'!V10</f>
        <v>1667534.138305085</v>
      </c>
      <c r="H5" s="54">
        <f>'Eximbank 4'!W10</f>
        <v>1667534.138305085</v>
      </c>
      <c r="I5" s="54">
        <f>'Eximbank 4'!X10</f>
        <v>1667534.138305085</v>
      </c>
      <c r="J5" s="265">
        <f>'Eximbank 4'!Y10</f>
        <v>1667534.138305085</v>
      </c>
      <c r="K5" s="54">
        <f>'Eximbank 4'!Z10</f>
        <v>1667534.138305085</v>
      </c>
      <c r="L5" s="54">
        <f>'Eximbank 4'!AA10</f>
        <v>277922.35638418078</v>
      </c>
      <c r="M5" s="54"/>
      <c r="N5" s="54"/>
      <c r="O5" s="54"/>
      <c r="P5" s="54"/>
      <c r="Q5" s="54"/>
      <c r="R5" s="54"/>
      <c r="S5" s="54"/>
      <c r="T5" s="52">
        <f>SUM(F5:R5)</f>
        <v>10283127.186214691</v>
      </c>
    </row>
    <row r="6" spans="1:20">
      <c r="A6" t="s">
        <v>13</v>
      </c>
      <c r="E6" s="53">
        <f>'Eximbank 4'!T11</f>
        <v>757383.35192784236</v>
      </c>
      <c r="F6" s="54">
        <f>'Eximbank 4'!U11</f>
        <v>644444.9703718574</v>
      </c>
      <c r="G6" s="54">
        <f>'Eximbank 4'!V11</f>
        <v>531506.58881587279</v>
      </c>
      <c r="H6" s="54">
        <f>'Eximbank 4'!W11</f>
        <v>419831.67317227228</v>
      </c>
      <c r="I6" s="54">
        <f>'Eximbank 4'!X11</f>
        <v>305629.82570390316</v>
      </c>
      <c r="J6" s="265">
        <f>'Eximbank 4'!Y11</f>
        <v>192691.44414791834</v>
      </c>
      <c r="K6" s="54">
        <f>'Eximbank 4'!Z11</f>
        <v>79753.062591933412</v>
      </c>
      <c r="L6" s="54">
        <f>'Eximbank 4'!AA11</f>
        <v>2346.4366944282556</v>
      </c>
      <c r="M6" s="54"/>
      <c r="N6" s="54"/>
      <c r="O6" s="54"/>
      <c r="P6" s="54"/>
      <c r="Q6" s="54"/>
      <c r="R6" s="54"/>
      <c r="S6" s="54"/>
      <c r="T6" s="52">
        <f>SUM(F6:R6)</f>
        <v>2176204.001498186</v>
      </c>
    </row>
    <row r="7" spans="1:20">
      <c r="A7" t="s">
        <v>26</v>
      </c>
      <c r="E7" s="53">
        <f>'Eximbank 4'!T12</f>
        <v>0</v>
      </c>
      <c r="F7" s="54">
        <f>'Eximbank 4'!U12</f>
        <v>0</v>
      </c>
      <c r="G7" s="54">
        <f>'Eximbank 4'!V12</f>
        <v>0</v>
      </c>
      <c r="H7" s="54">
        <f>'Eximbank 4'!W12</f>
        <v>0</v>
      </c>
      <c r="I7" s="54">
        <f>'Eximbank 4'!X12</f>
        <v>0</v>
      </c>
      <c r="J7" s="265">
        <f>'Eximbank 4'!Y12</f>
        <v>0</v>
      </c>
      <c r="K7" s="54">
        <f>'Eximbank 4'!Z12</f>
        <v>0</v>
      </c>
      <c r="L7" s="54"/>
      <c r="M7" s="54"/>
      <c r="N7" s="54"/>
      <c r="O7" s="54"/>
      <c r="P7" s="54"/>
      <c r="Q7" s="54"/>
      <c r="R7" s="54"/>
      <c r="S7" s="54"/>
      <c r="T7" s="54"/>
    </row>
    <row r="8" spans="1:20">
      <c r="E8" s="53"/>
      <c r="F8" s="48"/>
      <c r="G8" s="48"/>
    </row>
    <row r="9" spans="1:20">
      <c r="E9" s="53"/>
      <c r="F9" s="48"/>
      <c r="G9" s="48"/>
    </row>
    <row r="10" spans="1:20">
      <c r="A10" t="s">
        <v>91</v>
      </c>
      <c r="E10" s="53">
        <f t="shared" ref="E10:L10" si="12">E11+E12</f>
        <v>2828464.0900000008</v>
      </c>
      <c r="F10" s="53">
        <f t="shared" si="12"/>
        <v>2704191.7100000004</v>
      </c>
      <c r="G10" s="53">
        <f t="shared" si="12"/>
        <v>2579919.3400000003</v>
      </c>
      <c r="H10" s="53">
        <f t="shared" si="12"/>
        <v>2457320.9200000004</v>
      </c>
      <c r="I10" s="53">
        <f t="shared" si="12"/>
        <v>2331374.5400000005</v>
      </c>
      <c r="J10" s="266">
        <f t="shared" si="12"/>
        <v>2207102.1600000006</v>
      </c>
      <c r="K10" s="53">
        <f t="shared" si="12"/>
        <v>2082829.7700000005</v>
      </c>
      <c r="L10" s="53">
        <f t="shared" si="12"/>
        <v>1958869.5300000005</v>
      </c>
      <c r="T10" s="52">
        <f>T11+T12</f>
        <v>16321607.970000003</v>
      </c>
    </row>
    <row r="11" spans="1:20">
      <c r="A11" t="s">
        <v>14</v>
      </c>
      <c r="E11" s="53">
        <f>'credit eximbank 85'!V3</f>
        <v>1891512.7200000004</v>
      </c>
      <c r="F11" s="48">
        <f>'credit eximbank 85'!W3</f>
        <v>1891512.7200000004</v>
      </c>
      <c r="G11" s="48">
        <f>'credit eximbank 85'!X3</f>
        <v>1891512.7200000004</v>
      </c>
      <c r="H11" s="48">
        <f>'credit eximbank 85'!Y3</f>
        <v>1891512.7200000004</v>
      </c>
      <c r="I11" s="48">
        <f>'credit eximbank 85'!Z3</f>
        <v>1891512.7200000004</v>
      </c>
      <c r="J11" s="264">
        <f>'credit eximbank 85'!AA3</f>
        <v>1891512.7200000004</v>
      </c>
      <c r="K11" s="48">
        <f>'credit eximbank 85'!AB3</f>
        <v>1891512.7200000004</v>
      </c>
      <c r="L11" s="48">
        <f>'credit eximbank 85'!AC3</f>
        <v>1891512.7600000005</v>
      </c>
      <c r="M11" s="48">
        <f>'credit eximbank 85'!AD3</f>
        <v>0</v>
      </c>
      <c r="T11" s="52">
        <f t="shared" ref="T11:T12" si="13">SUM(F11:R11)</f>
        <v>13240589.080000002</v>
      </c>
    </row>
    <row r="12" spans="1:20">
      <c r="A12" t="s">
        <v>13</v>
      </c>
      <c r="E12" s="53">
        <f>'credit eximbank 85'!V4</f>
        <v>936951.37000000011</v>
      </c>
      <c r="F12" s="48">
        <f>'credit eximbank 85'!W4</f>
        <v>812678.99000000011</v>
      </c>
      <c r="G12" s="48">
        <f>'credit eximbank 85'!X4</f>
        <v>688406.61999999988</v>
      </c>
      <c r="H12" s="48">
        <f>'credit eximbank 85'!Y4</f>
        <v>565808.20000000007</v>
      </c>
      <c r="I12" s="48">
        <f>'credit eximbank 85'!Z4</f>
        <v>439861.81999999995</v>
      </c>
      <c r="J12" s="264">
        <f>'credit eximbank 85'!AA4</f>
        <v>315589.44</v>
      </c>
      <c r="K12" s="48">
        <f>'credit eximbank 85'!AB4</f>
        <v>191317.04999999996</v>
      </c>
      <c r="L12" s="48">
        <f>'credit eximbank 85'!AC4</f>
        <v>67356.77</v>
      </c>
      <c r="M12" s="48">
        <f>'credit eximbank 85'!AD4</f>
        <v>0</v>
      </c>
      <c r="T12" s="52">
        <f t="shared" si="13"/>
        <v>3081018.8899999997</v>
      </c>
    </row>
    <row r="13" spans="1:20">
      <c r="A13" t="s">
        <v>26</v>
      </c>
      <c r="E13" s="53">
        <f>'credit eximbank 85'!V26</f>
        <v>0</v>
      </c>
      <c r="F13" s="48">
        <f>'credit eximbank 85'!W26</f>
        <v>0</v>
      </c>
      <c r="G13" s="48">
        <f>'credit eximbank 85'!X26</f>
        <v>0</v>
      </c>
      <c r="H13" s="48">
        <f>'credit eximbank 85'!Y26</f>
        <v>0</v>
      </c>
      <c r="I13" s="48">
        <f>'credit eximbank 85'!Z26</f>
        <v>0</v>
      </c>
      <c r="J13" s="264">
        <f>'credit eximbank 85'!AA26</f>
        <v>0</v>
      </c>
      <c r="K13" s="48">
        <f>'credit eximbank 85'!AB26</f>
        <v>0</v>
      </c>
      <c r="L13" s="48">
        <f>'credit eximbank 85'!AC26</f>
        <v>0</v>
      </c>
      <c r="M13" s="48">
        <f>'credit eximbank 85'!AD26</f>
        <v>0</v>
      </c>
    </row>
    <row r="14" spans="1:20">
      <c r="E14" s="53"/>
      <c r="F14" s="48"/>
      <c r="G14" s="48"/>
    </row>
    <row r="15" spans="1:20">
      <c r="A15" t="s">
        <v>134</v>
      </c>
      <c r="E15" s="53">
        <f t="shared" ref="E15:N15" si="14">E16+E17</f>
        <v>760280.96</v>
      </c>
      <c r="F15" s="53">
        <f t="shared" si="14"/>
        <v>737833.46</v>
      </c>
      <c r="G15" s="53">
        <f t="shared" si="14"/>
        <v>831251.11</v>
      </c>
      <c r="H15" s="53">
        <f t="shared" si="14"/>
        <v>974692.33000000007</v>
      </c>
      <c r="I15" s="53">
        <f t="shared" si="14"/>
        <v>928727.32000000007</v>
      </c>
      <c r="J15" s="266">
        <f t="shared" si="14"/>
        <v>883832.32000000007</v>
      </c>
      <c r="K15" s="53">
        <f t="shared" si="14"/>
        <v>1186532.77</v>
      </c>
      <c r="L15" s="53">
        <f t="shared" si="14"/>
        <v>1115198.83</v>
      </c>
      <c r="M15" s="53">
        <f t="shared" si="14"/>
        <v>1158733.92</v>
      </c>
      <c r="N15" s="53">
        <f t="shared" si="14"/>
        <v>478630.89</v>
      </c>
      <c r="T15" s="52">
        <f>T16+T17</f>
        <v>8295432.9499999993</v>
      </c>
    </row>
    <row r="16" spans="1:20">
      <c r="A16" t="s">
        <v>33</v>
      </c>
      <c r="E16" s="53">
        <f>'CREDIT ref 7.2 MIO'!Q65</f>
        <v>300000</v>
      </c>
      <c r="F16" s="48">
        <f>'CREDIT ref 7.2 MIO'!R65</f>
        <v>300000</v>
      </c>
      <c r="G16" s="48">
        <f>'CREDIT ref 7.2 MIO'!S65</f>
        <v>420000</v>
      </c>
      <c r="H16" s="48">
        <f>'CREDIT ref 7.2 MIO'!T65</f>
        <v>600000</v>
      </c>
      <c r="I16" s="48">
        <f>'CREDIT ref 7.2 MIO'!U65</f>
        <v>600000</v>
      </c>
      <c r="J16" s="264">
        <f>'CREDIT ref 7.2 MIO'!V65</f>
        <v>600000</v>
      </c>
      <c r="K16" s="48">
        <f>'CREDIT ref 7.2 MIO'!W65</f>
        <v>960000</v>
      </c>
      <c r="L16" s="48">
        <f>'CREDIT ref 7.2 MIO'!X65</f>
        <v>960000</v>
      </c>
      <c r="M16" s="48">
        <f>'CREDIT ref 7.2 MIO'!Y65</f>
        <v>1080000</v>
      </c>
      <c r="N16" s="48">
        <f>'CREDIT ref 7.2 MIO'!Z65</f>
        <v>469583.3</v>
      </c>
      <c r="O16" s="48"/>
      <c r="P16" s="48"/>
      <c r="Q16" s="48"/>
      <c r="R16" s="48"/>
      <c r="S16" s="48"/>
      <c r="T16" s="52">
        <f t="shared" ref="T16:T17" si="15">SUM(F16:R16)</f>
        <v>5989583.2999999998</v>
      </c>
    </row>
    <row r="17" spans="1:20">
      <c r="A17" t="s">
        <v>31</v>
      </c>
      <c r="E17" s="53">
        <f>'CREDIT ref 7.2 MIO'!Q66</f>
        <v>460280.95999999996</v>
      </c>
      <c r="F17" s="48">
        <f>'CREDIT ref 7.2 MIO'!R66</f>
        <v>437833.45999999996</v>
      </c>
      <c r="G17" s="48">
        <f>'CREDIT ref 7.2 MIO'!S66</f>
        <v>411251.11</v>
      </c>
      <c r="H17" s="48">
        <f>'CREDIT ref 7.2 MIO'!T66</f>
        <v>374692.33</v>
      </c>
      <c r="I17" s="48">
        <f>'CREDIT ref 7.2 MIO'!U66</f>
        <v>328727.32000000007</v>
      </c>
      <c r="J17" s="264">
        <f>'CREDIT ref 7.2 MIO'!V66</f>
        <v>283832.32000000001</v>
      </c>
      <c r="K17" s="48">
        <f>'CREDIT ref 7.2 MIO'!W66</f>
        <v>226532.77</v>
      </c>
      <c r="L17" s="48">
        <f>'CREDIT ref 7.2 MIO'!X66</f>
        <v>155198.83000000002</v>
      </c>
      <c r="M17" s="48">
        <f>'CREDIT ref 7.2 MIO'!Y66</f>
        <v>78733.919999999998</v>
      </c>
      <c r="N17" s="48">
        <f>'CREDIT ref 7.2 MIO'!Z66</f>
        <v>9047.59</v>
      </c>
      <c r="O17" s="48"/>
      <c r="P17" s="48"/>
      <c r="Q17" s="48"/>
      <c r="R17" s="48"/>
      <c r="S17" s="48"/>
      <c r="T17" s="52">
        <f t="shared" si="15"/>
        <v>2305849.65</v>
      </c>
    </row>
    <row r="18" spans="1:20">
      <c r="E18" s="53"/>
      <c r="F18" s="48"/>
      <c r="G18" s="48"/>
    </row>
    <row r="19" spans="1:20">
      <c r="E19" s="53">
        <f t="shared" ref="E19:N19" si="16">E20+E21</f>
        <v>1259637.9166666667</v>
      </c>
      <c r="F19" s="53">
        <f t="shared" si="16"/>
        <v>1204279.5833333335</v>
      </c>
      <c r="G19" s="53">
        <f t="shared" si="16"/>
        <v>1148921.25</v>
      </c>
      <c r="H19" s="53">
        <f t="shared" si="16"/>
        <v>1094561.388888889</v>
      </c>
      <c r="I19" s="53">
        <f t="shared" si="16"/>
        <v>1038204.5833333333</v>
      </c>
      <c r="J19" s="266">
        <f t="shared" si="16"/>
        <v>982846.25</v>
      </c>
      <c r="K19" s="53">
        <f t="shared" si="16"/>
        <v>927487.91666666663</v>
      </c>
      <c r="L19" s="53">
        <f t="shared" si="16"/>
        <v>872521.38888888888</v>
      </c>
      <c r="M19" s="53">
        <f t="shared" si="16"/>
        <v>816771.25</v>
      </c>
      <c r="N19" s="53">
        <f t="shared" si="16"/>
        <v>450846.66666666669</v>
      </c>
      <c r="T19" s="52">
        <f>T20+T21</f>
        <v>8536440.277777778</v>
      </c>
    </row>
    <row r="20" spans="1:20">
      <c r="A20" t="s">
        <v>136</v>
      </c>
      <c r="E20" s="53">
        <f>'credit nou fd UE 7.5 mio'!N7</f>
        <v>750000</v>
      </c>
      <c r="F20" s="48">
        <f>'credit nou fd UE 7.5 mio'!O7</f>
        <v>750000</v>
      </c>
      <c r="G20" s="48">
        <f>'credit nou fd UE 7.5 mio'!P7</f>
        <v>750000</v>
      </c>
      <c r="H20" s="48">
        <f>'credit nou fd UE 7.5 mio'!Q7</f>
        <v>750000</v>
      </c>
      <c r="I20" s="48">
        <f>'credit nou fd UE 7.5 mio'!R7</f>
        <v>750000</v>
      </c>
      <c r="J20" s="264">
        <f>'credit nou fd UE 7.5 mio'!S7</f>
        <v>750000</v>
      </c>
      <c r="K20" s="48">
        <f>'credit nou fd UE 7.5 mio'!T7</f>
        <v>750000</v>
      </c>
      <c r="L20" s="48">
        <f>'credit nou fd UE 7.5 mio'!U7</f>
        <v>750000</v>
      </c>
      <c r="M20" s="48">
        <f>'credit nou fd UE 7.5 mio'!V7</f>
        <v>750000</v>
      </c>
      <c r="N20" s="48">
        <f>'credit nou fd UE 7.5 mio'!W7</f>
        <v>437500</v>
      </c>
      <c r="O20" s="48"/>
      <c r="P20" s="48"/>
      <c r="Q20" s="48"/>
      <c r="R20" s="48"/>
      <c r="S20" s="48"/>
      <c r="T20" s="52">
        <f t="shared" ref="T20:T21" si="17">SUM(F20:R20)</f>
        <v>6437500</v>
      </c>
    </row>
    <row r="21" spans="1:20">
      <c r="A21" t="s">
        <v>135</v>
      </c>
      <c r="E21" s="53">
        <f>'credit nou fd UE 7.5 mio'!N8</f>
        <v>509637.91666666669</v>
      </c>
      <c r="F21" s="48">
        <f>'credit nou fd UE 7.5 mio'!O8</f>
        <v>454279.58333333337</v>
      </c>
      <c r="G21" s="48">
        <f>'credit nou fd UE 7.5 mio'!P8</f>
        <v>398921.25000000006</v>
      </c>
      <c r="H21" s="48">
        <f>'credit nou fd UE 7.5 mio'!Q8</f>
        <v>344561.38888888888</v>
      </c>
      <c r="I21" s="48">
        <f>'credit nou fd UE 7.5 mio'!R8</f>
        <v>288204.58333333331</v>
      </c>
      <c r="J21" s="264">
        <f>'credit nou fd UE 7.5 mio'!S8</f>
        <v>232846.24999999997</v>
      </c>
      <c r="K21" s="48">
        <f>'credit nou fd UE 7.5 mio'!T8</f>
        <v>177487.91666666666</v>
      </c>
      <c r="L21" s="48">
        <f>'credit nou fd UE 7.5 mio'!U8</f>
        <v>122521.38888888892</v>
      </c>
      <c r="M21" s="48">
        <f>'credit nou fd UE 7.5 mio'!V8</f>
        <v>66771.25</v>
      </c>
      <c r="N21" s="48">
        <f>'credit nou fd UE 7.5 mio'!W8</f>
        <v>13346.666666666668</v>
      </c>
      <c r="O21" s="48"/>
      <c r="P21" s="48"/>
      <c r="Q21" s="48"/>
      <c r="R21" s="48"/>
      <c r="S21" s="48"/>
      <c r="T21" s="52">
        <f t="shared" si="17"/>
        <v>2098940.277777778</v>
      </c>
    </row>
    <row r="22" spans="1:20">
      <c r="A22">
        <v>1000</v>
      </c>
      <c r="E22" s="53"/>
      <c r="F22" s="48"/>
      <c r="G22" s="48"/>
    </row>
    <row r="23" spans="1:20">
      <c r="E23" s="53"/>
      <c r="F23" s="48"/>
      <c r="G23" s="48"/>
    </row>
    <row r="24" spans="1:20" s="250" customFormat="1">
      <c r="A24" s="260" t="s">
        <v>148</v>
      </c>
      <c r="E24" s="262">
        <f t="shared" ref="E24:P24" si="18">E25+E26</f>
        <v>487756.75</v>
      </c>
      <c r="F24" s="262">
        <f t="shared" si="18"/>
        <v>2350647.2972222222</v>
      </c>
      <c r="G24" s="262">
        <f t="shared" si="18"/>
        <v>1967454.4666666668</v>
      </c>
      <c r="H24" s="262">
        <f t="shared" si="18"/>
        <v>1991926.3583333334</v>
      </c>
      <c r="I24" s="262">
        <f t="shared" si="18"/>
        <v>2043070.9805555556</v>
      </c>
      <c r="J24" s="267">
        <f t="shared" si="18"/>
        <v>2167816.4944444448</v>
      </c>
      <c r="K24" s="262">
        <f t="shared" si="18"/>
        <v>2238230.847222222</v>
      </c>
      <c r="L24" s="262">
        <f t="shared" si="18"/>
        <v>2340543.027777778</v>
      </c>
      <c r="M24" s="262">
        <f t="shared" si="18"/>
        <v>2463059.6611111113</v>
      </c>
      <c r="N24" s="262">
        <f t="shared" si="18"/>
        <v>2886522.9166666665</v>
      </c>
      <c r="O24" s="262">
        <f t="shared" si="18"/>
        <v>3739421.4388888888</v>
      </c>
      <c r="P24" s="262">
        <f t="shared" si="18"/>
        <v>2175799.1777777779</v>
      </c>
      <c r="T24" s="52">
        <f>T25+T26</f>
        <v>26364492.666666668</v>
      </c>
    </row>
    <row r="25" spans="1:20" s="250" customFormat="1">
      <c r="E25" s="263">
        <f>'UNICREDIT 2024'!K7</f>
        <v>0</v>
      </c>
      <c r="F25" s="261">
        <f>'UNICREDIT 2024'!L7</f>
        <v>1160000</v>
      </c>
      <c r="G25" s="261">
        <f>'UNICREDIT 2024'!M7</f>
        <v>840000</v>
      </c>
      <c r="H25" s="261">
        <f>'UNICREDIT 2024'!N7</f>
        <v>920000</v>
      </c>
      <c r="I25" s="261">
        <f>'UNICREDIT 2024'!O7</f>
        <v>1040000</v>
      </c>
      <c r="J25" s="264">
        <f>'UNICREDIT 2024'!P7</f>
        <v>1240000</v>
      </c>
      <c r="K25" s="261">
        <f>'UNICREDIT 2024'!Q7</f>
        <v>1400000</v>
      </c>
      <c r="L25" s="261">
        <f>'UNICREDIT 2024'!R7</f>
        <v>1600000</v>
      </c>
      <c r="M25" s="261">
        <f>'UNICREDIT 2024'!S7</f>
        <v>1840000</v>
      </c>
      <c r="N25" s="261">
        <f>'UNICREDIT 2024'!T7</f>
        <v>2400000</v>
      </c>
      <c r="O25" s="261">
        <f>'UNICREDIT 2024'!U7</f>
        <v>3440000</v>
      </c>
      <c r="P25" s="261">
        <f>'UNICREDIT 2024'!V7</f>
        <v>2120000</v>
      </c>
      <c r="Q25" s="261"/>
      <c r="R25" s="261"/>
      <c r="S25" s="261"/>
      <c r="T25" s="52">
        <f t="shared" ref="T25:T26" si="19">SUM(F25:R25)</f>
        <v>18000000</v>
      </c>
    </row>
    <row r="26" spans="1:20" s="250" customFormat="1">
      <c r="E26" s="263">
        <f>'UNICREDIT 2024'!K8</f>
        <v>487756.75</v>
      </c>
      <c r="F26" s="261">
        <f>'UNICREDIT 2024'!L8</f>
        <v>1190647.2972222222</v>
      </c>
      <c r="G26" s="261">
        <f>'UNICREDIT 2024'!M8</f>
        <v>1127454.4666666668</v>
      </c>
      <c r="H26" s="261">
        <f>'UNICREDIT 2024'!N8</f>
        <v>1071926.3583333334</v>
      </c>
      <c r="I26" s="261">
        <f>'UNICREDIT 2024'!O8</f>
        <v>1003070.9805555556</v>
      </c>
      <c r="J26" s="264">
        <f>'UNICREDIT 2024'!P8</f>
        <v>927816.49444444454</v>
      </c>
      <c r="K26" s="261">
        <f>'UNICREDIT 2024'!Q8</f>
        <v>838230.84722222225</v>
      </c>
      <c r="L26" s="261">
        <f>'UNICREDIT 2024'!R8</f>
        <v>740543.02777777775</v>
      </c>
      <c r="M26" s="261">
        <f>'UNICREDIT 2024'!S8</f>
        <v>623059.66111111117</v>
      </c>
      <c r="N26" s="261">
        <f>'UNICREDIT 2024'!T8</f>
        <v>486522.91666666663</v>
      </c>
      <c r="O26" s="261">
        <f>'UNICREDIT 2024'!U8</f>
        <v>299421.43888888892</v>
      </c>
      <c r="P26" s="261">
        <f>'UNICREDIT 2024'!V8</f>
        <v>55799.177777777782</v>
      </c>
      <c r="Q26" s="261"/>
      <c r="R26" s="261"/>
      <c r="S26" s="261"/>
      <c r="T26" s="52">
        <f t="shared" si="19"/>
        <v>8364492.666666667</v>
      </c>
    </row>
    <row r="27" spans="1:20">
      <c r="E27" s="53"/>
      <c r="F27" s="48"/>
      <c r="G27" s="48"/>
    </row>
    <row r="28" spans="1:20">
      <c r="A28" t="s">
        <v>149</v>
      </c>
      <c r="E28" s="54">
        <f>E29+E30</f>
        <v>0</v>
      </c>
      <c r="F28" s="54">
        <f t="shared" ref="F28:O28" si="20">F29+F30</f>
        <v>868902.78</v>
      </c>
      <c r="G28" s="54">
        <f t="shared" si="20"/>
        <v>1943776.5311111109</v>
      </c>
      <c r="H28" s="54">
        <f t="shared" si="20"/>
        <v>1849281.7111111111</v>
      </c>
      <c r="I28" s="54">
        <f t="shared" si="20"/>
        <v>1750687.0411111112</v>
      </c>
      <c r="J28" s="265">
        <f t="shared" si="20"/>
        <v>1654142.2911111112</v>
      </c>
      <c r="K28" s="54">
        <f t="shared" si="20"/>
        <v>1557597.5311111109</v>
      </c>
      <c r="L28" s="54">
        <f t="shared" si="20"/>
        <v>1462044.6911111111</v>
      </c>
      <c r="M28" s="54">
        <f t="shared" si="20"/>
        <v>1364508.051111111</v>
      </c>
      <c r="N28" s="54">
        <f t="shared" si="20"/>
        <v>1267963.2811111109</v>
      </c>
      <c r="O28" s="54">
        <f t="shared" si="20"/>
        <v>1171418.5211111109</v>
      </c>
      <c r="T28" s="52">
        <f>T29+T30</f>
        <v>14890322.43</v>
      </c>
    </row>
    <row r="29" spans="1:20">
      <c r="A29" t="s">
        <v>33</v>
      </c>
      <c r="E29" s="53">
        <f>'credit trezo 2025'!J7</f>
        <v>0</v>
      </c>
      <c r="F29" s="54">
        <v>0</v>
      </c>
      <c r="G29" s="54">
        <f>'credit trezo 2025'!L7</f>
        <v>1111111.111111111</v>
      </c>
      <c r="H29" s="54">
        <f>'credit trezo 2025'!M7</f>
        <v>1111111.111111111</v>
      </c>
      <c r="I29" s="54">
        <f>'credit trezo 2025'!N7</f>
        <v>1111111.111111111</v>
      </c>
      <c r="J29" s="265">
        <f>'credit trezo 2025'!O7</f>
        <v>1111111.111111111</v>
      </c>
      <c r="K29" s="54">
        <f>'credit trezo 2025'!P7</f>
        <v>1111111.111111111</v>
      </c>
      <c r="L29" s="54">
        <f>'credit trezo 2025'!Q7</f>
        <v>1111111.111111111</v>
      </c>
      <c r="M29" s="54">
        <f>'credit trezo 2025'!R7</f>
        <v>1111111.111111111</v>
      </c>
      <c r="N29" s="54">
        <f>'credit trezo 2025'!S7</f>
        <v>1111111.111111111</v>
      </c>
      <c r="O29" s="54">
        <f>N29</f>
        <v>1111111.111111111</v>
      </c>
      <c r="P29" s="54"/>
      <c r="T29" s="52">
        <f t="shared" ref="T29:T30" si="21">SUM(F29:R29)</f>
        <v>10000000</v>
      </c>
    </row>
    <row r="30" spans="1:20">
      <c r="A30" t="s">
        <v>31</v>
      </c>
      <c r="E30" s="53">
        <f>'credit trezo 2025'!J8</f>
        <v>0</v>
      </c>
      <c r="F30" s="54">
        <f>'credit trezo 2025'!K8</f>
        <v>868902.78</v>
      </c>
      <c r="G30" s="54">
        <f>'credit trezo 2025'!L8</f>
        <v>832665.42</v>
      </c>
      <c r="H30" s="54">
        <f>'credit trezo 2025'!M8</f>
        <v>738170.6</v>
      </c>
      <c r="I30" s="54">
        <f>'credit trezo 2025'!N8</f>
        <v>639575.93000000005</v>
      </c>
      <c r="J30" s="265">
        <f>'credit trezo 2025'!O8</f>
        <v>543031.18000000005</v>
      </c>
      <c r="K30" s="54">
        <f>'credit trezo 2025'!P8</f>
        <v>446486.42</v>
      </c>
      <c r="L30" s="54">
        <f>'credit trezo 2025'!Q8</f>
        <v>350933.58</v>
      </c>
      <c r="M30" s="54">
        <f>'credit trezo 2025'!R8</f>
        <v>253396.94</v>
      </c>
      <c r="N30" s="54">
        <f>'credit trezo 2025'!S8</f>
        <v>156852.17000000001</v>
      </c>
      <c r="O30" s="54">
        <f>'credit trezo 2025'!T8</f>
        <v>60307.41</v>
      </c>
      <c r="P30" s="54"/>
      <c r="T30" s="52">
        <f t="shared" si="21"/>
        <v>4890322.4300000006</v>
      </c>
    </row>
    <row r="31" spans="1:20">
      <c r="E31" s="53"/>
      <c r="F31" s="48"/>
      <c r="G31" s="48"/>
    </row>
    <row r="32" spans="1:20">
      <c r="A32" t="s">
        <v>150</v>
      </c>
      <c r="E32" s="53"/>
      <c r="F32" s="48"/>
      <c r="G32" s="48">
        <f>G33+G34</f>
        <v>811974.39999999991</v>
      </c>
      <c r="H32" s="48">
        <f t="shared" ref="H32:R32" si="22">H33+H34</f>
        <v>1946026.6666666665</v>
      </c>
      <c r="I32" s="48">
        <f t="shared" si="22"/>
        <v>1922658.1333333333</v>
      </c>
      <c r="J32" s="264">
        <f t="shared" si="22"/>
        <v>2020379.7333333332</v>
      </c>
      <c r="K32" s="48">
        <f t="shared" si="22"/>
        <v>1992413.8666666665</v>
      </c>
      <c r="L32" s="48">
        <f t="shared" si="22"/>
        <v>3249312</v>
      </c>
      <c r="M32" s="48">
        <f t="shared" si="22"/>
        <v>4686328.5333333332</v>
      </c>
      <c r="N32" s="48">
        <f t="shared" si="22"/>
        <v>4430261.333333333</v>
      </c>
      <c r="O32" s="48">
        <f t="shared" si="22"/>
        <v>4173301.3333333335</v>
      </c>
      <c r="P32" s="48">
        <f t="shared" si="22"/>
        <v>4674957.8666666672</v>
      </c>
      <c r="Q32" s="48">
        <f t="shared" si="22"/>
        <v>4355737.5999999996</v>
      </c>
      <c r="R32" s="48">
        <f t="shared" si="22"/>
        <v>1019200</v>
      </c>
      <c r="T32" s="52">
        <f>T33+T34</f>
        <v>35317751.466666669</v>
      </c>
    </row>
    <row r="33" spans="1:22">
      <c r="A33" t="s">
        <v>33</v>
      </c>
      <c r="E33" s="53"/>
      <c r="F33" s="48">
        <f>'credit nou 2026'!J7</f>
        <v>0</v>
      </c>
      <c r="G33" s="48">
        <f>'credit nou 2026'!K7</f>
        <v>60000</v>
      </c>
      <c r="H33" s="48">
        <f>'credit nou 2026'!L7</f>
        <v>240000</v>
      </c>
      <c r="I33" s="48">
        <f>'credit nou 2026'!M7</f>
        <v>240000</v>
      </c>
      <c r="J33" s="264">
        <f>'credit nou 2026'!N7</f>
        <v>360000</v>
      </c>
      <c r="K33" s="48">
        <f>'credit nou 2026'!O7</f>
        <v>360000</v>
      </c>
      <c r="L33" s="48">
        <f>'credit nou 2026'!P7</f>
        <v>1680000</v>
      </c>
      <c r="M33" s="48">
        <f>'credit nou 2026'!Q7</f>
        <v>3300000</v>
      </c>
      <c r="N33" s="48">
        <f>'credit nou 2026'!R7</f>
        <v>3300000</v>
      </c>
      <c r="O33" s="48">
        <f>'credit nou 2026'!S7</f>
        <v>3300000</v>
      </c>
      <c r="P33" s="48">
        <f>'credit nou 2026'!T7</f>
        <v>4080000</v>
      </c>
      <c r="Q33" s="48">
        <f>'credit nou 2026'!U7</f>
        <v>4080000</v>
      </c>
      <c r="R33" s="48">
        <f>'credit nou 2026'!V7</f>
        <v>1000000</v>
      </c>
      <c r="T33" s="52">
        <f t="shared" ref="T33:T34" si="23">SUM(F33:R33)</f>
        <v>22000000</v>
      </c>
    </row>
    <row r="34" spans="1:22">
      <c r="A34" t="s">
        <v>31</v>
      </c>
      <c r="E34" s="53"/>
      <c r="F34" s="48">
        <f>'credit nou 2026'!J8</f>
        <v>35199.999999999993</v>
      </c>
      <c r="G34" s="48">
        <f>'credit nou 2026'!K8</f>
        <v>751974.39999999991</v>
      </c>
      <c r="H34" s="48">
        <f>'credit nou 2026'!L8</f>
        <v>1706026.6666666665</v>
      </c>
      <c r="I34" s="48">
        <f>'credit nou 2026'!M8</f>
        <v>1682658.1333333333</v>
      </c>
      <c r="J34" s="264">
        <f>'credit nou 2026'!N8</f>
        <v>1660379.7333333332</v>
      </c>
      <c r="K34" s="48">
        <f>'credit nou 2026'!O8</f>
        <v>1632413.8666666665</v>
      </c>
      <c r="L34" s="48">
        <f>'credit nou 2026'!P8</f>
        <v>1569312</v>
      </c>
      <c r="M34" s="48">
        <f>'credit nou 2026'!Q8</f>
        <v>1386328.5333333332</v>
      </c>
      <c r="N34" s="48">
        <f>'credit nou 2026'!R8</f>
        <v>1130261.3333333333</v>
      </c>
      <c r="O34" s="48">
        <f>'credit nou 2026'!S8</f>
        <v>873301.33333333337</v>
      </c>
      <c r="P34" s="48">
        <f>'credit nou 2026'!T8</f>
        <v>594957.8666666667</v>
      </c>
      <c r="Q34" s="48">
        <f>'credit nou 2026'!U8</f>
        <v>275737.60000000003</v>
      </c>
      <c r="R34" s="48">
        <f>'credit nou 2026'!V8</f>
        <v>19199.999999999996</v>
      </c>
      <c r="T34" s="52">
        <f t="shared" si="23"/>
        <v>13317751.466666667</v>
      </c>
    </row>
    <row r="35" spans="1:22">
      <c r="E35" s="53"/>
      <c r="F35" s="48">
        <f>'credit nou 2026'!J9</f>
        <v>18000</v>
      </c>
      <c r="G35" s="48">
        <f>'credit nou 2026'!K9</f>
        <v>0</v>
      </c>
      <c r="H35" s="48">
        <f>'credit nou 2026'!L9</f>
        <v>0</v>
      </c>
      <c r="I35" s="48">
        <f>'credit nou 2026'!M9</f>
        <v>0</v>
      </c>
      <c r="J35" s="264">
        <f>'credit nou 2026'!N9</f>
        <v>0</v>
      </c>
      <c r="K35" s="48">
        <f>'credit nou 2026'!O9</f>
        <v>0</v>
      </c>
      <c r="L35" s="48">
        <f>'credit nou 2026'!P9</f>
        <v>0</v>
      </c>
      <c r="M35" s="48">
        <f>'credit nou 2026'!Q9</f>
        <v>0</v>
      </c>
      <c r="N35" s="48">
        <f>'credit nou 2026'!R9</f>
        <v>0</v>
      </c>
      <c r="O35" s="48">
        <f>'credit nou 2026'!S9</f>
        <v>0</v>
      </c>
      <c r="P35" s="48">
        <f>'credit nou 2026'!T9</f>
        <v>0</v>
      </c>
      <c r="Q35" s="48">
        <f>'credit nou 2026'!U9</f>
        <v>0</v>
      </c>
      <c r="R35" s="48">
        <f>'credit nou 2026'!V9</f>
        <v>0</v>
      </c>
      <c r="T35" s="52"/>
    </row>
    <row r="36" spans="1:22">
      <c r="E36" s="53"/>
      <c r="F36" s="48"/>
      <c r="G36" s="48"/>
    </row>
    <row r="37" spans="1:22">
      <c r="A37" t="s">
        <v>92</v>
      </c>
      <c r="E37" s="53">
        <f t="shared" ref="E37:G37" si="24">E38+E39+E40</f>
        <v>7761057.2068995945</v>
      </c>
      <c r="F37" s="53">
        <f>F38+F39+F40</f>
        <v>10213033.939232498</v>
      </c>
      <c r="G37" s="53">
        <f t="shared" si="24"/>
        <v>11482337.824898735</v>
      </c>
      <c r="H37" s="53">
        <f t="shared" ref="H37:R37" si="25">H38+H39+H40</f>
        <v>12401175.186477358</v>
      </c>
      <c r="I37" s="53">
        <f t="shared" si="25"/>
        <v>11987886.562342323</v>
      </c>
      <c r="J37" s="266">
        <f t="shared" si="25"/>
        <v>11776344.831341892</v>
      </c>
      <c r="K37" s="53">
        <f t="shared" si="25"/>
        <v>11732379.902563686</v>
      </c>
      <c r="L37" s="53">
        <f t="shared" si="25"/>
        <v>11278758.260856386</v>
      </c>
      <c r="M37" s="53">
        <f t="shared" si="25"/>
        <v>10489401.415555555</v>
      </c>
      <c r="N37" s="53">
        <f t="shared" si="25"/>
        <v>9514225.0877777766</v>
      </c>
      <c r="O37" s="53">
        <f t="shared" si="25"/>
        <v>9084141.293333333</v>
      </c>
      <c r="P37" s="53">
        <f t="shared" si="25"/>
        <v>6850757.0444444446</v>
      </c>
      <c r="Q37" s="53">
        <f t="shared" si="25"/>
        <v>4355737.5999999996</v>
      </c>
      <c r="R37" s="53">
        <f t="shared" si="25"/>
        <v>1019200</v>
      </c>
      <c r="S37" s="53"/>
      <c r="T37" s="53">
        <f>T38+T39</f>
        <v>122185378.94882399</v>
      </c>
      <c r="V37" s="52"/>
    </row>
    <row r="38" spans="1:22">
      <c r="A38" t="s">
        <v>14</v>
      </c>
      <c r="E38" s="53">
        <f>E5+E11+E16+E20+E25+E29+E34</f>
        <v>4609046.8583050855</v>
      </c>
      <c r="F38" s="53">
        <f>F5+F11+F16+F20+F25+F29+F33</f>
        <v>5769046.8583050855</v>
      </c>
      <c r="G38" s="53">
        <f t="shared" ref="G38:R38" si="26">G5+G11+G16+G20+G25+G29+G33</f>
        <v>6740157.9694161965</v>
      </c>
      <c r="H38" s="53">
        <f t="shared" si="26"/>
        <v>7180157.9694161965</v>
      </c>
      <c r="I38" s="53">
        <f t="shared" si="26"/>
        <v>7300157.9694161965</v>
      </c>
      <c r="J38" s="53">
        <f t="shared" si="26"/>
        <v>7620157.9694161965</v>
      </c>
      <c r="K38" s="53">
        <f t="shared" si="26"/>
        <v>8140157.9694161965</v>
      </c>
      <c r="L38" s="53">
        <f t="shared" si="26"/>
        <v>8270546.2274952922</v>
      </c>
      <c r="M38" s="53">
        <f t="shared" si="26"/>
        <v>8081111.111111111</v>
      </c>
      <c r="N38" s="53">
        <f t="shared" si="26"/>
        <v>7718194.4111111108</v>
      </c>
      <c r="O38" s="53">
        <f t="shared" si="26"/>
        <v>7851111.111111111</v>
      </c>
      <c r="P38" s="53">
        <f t="shared" si="26"/>
        <v>6200000</v>
      </c>
      <c r="Q38" s="53">
        <f t="shared" si="26"/>
        <v>4080000</v>
      </c>
      <c r="R38" s="53">
        <f t="shared" si="26"/>
        <v>1000000</v>
      </c>
      <c r="S38" s="53"/>
      <c r="T38" s="52">
        <f t="shared" ref="T38:T39" si="27">SUM(F38:R38)</f>
        <v>85950799.566214681</v>
      </c>
      <c r="V38" s="52">
        <f>T5+T11+T16+T20+T25+T29+T33</f>
        <v>85950799.566214696</v>
      </c>
    </row>
    <row r="39" spans="1:22">
      <c r="A39" t="s">
        <v>13</v>
      </c>
      <c r="E39" s="53">
        <f>E6+E12+E17+E21+E26+E30+E35</f>
        <v>3152010.3485945091</v>
      </c>
      <c r="F39" s="53">
        <f>F6+F12+F17+F21+F26+F30+F34</f>
        <v>4443987.080927413</v>
      </c>
      <c r="G39" s="53">
        <f t="shared" ref="G39:R39" si="28">G6+G12+G17+G21+G26+G30+G34</f>
        <v>4742179.8554825392</v>
      </c>
      <c r="H39" s="53">
        <f t="shared" si="28"/>
        <v>5221017.2170611611</v>
      </c>
      <c r="I39" s="53">
        <f t="shared" si="28"/>
        <v>4687728.592926126</v>
      </c>
      <c r="J39" s="53">
        <f t="shared" si="28"/>
        <v>4156186.861925696</v>
      </c>
      <c r="K39" s="53">
        <f t="shared" si="28"/>
        <v>3592221.9331474886</v>
      </c>
      <c r="L39" s="53">
        <f t="shared" si="28"/>
        <v>3008212.033361095</v>
      </c>
      <c r="M39" s="53">
        <f t="shared" si="28"/>
        <v>2408290.3044444444</v>
      </c>
      <c r="N39" s="53">
        <f t="shared" si="28"/>
        <v>1796030.6766666665</v>
      </c>
      <c r="O39" s="53">
        <f t="shared" si="28"/>
        <v>1233030.1822222224</v>
      </c>
      <c r="P39" s="53">
        <f t="shared" si="28"/>
        <v>650757.04444444447</v>
      </c>
      <c r="Q39" s="53">
        <f t="shared" si="28"/>
        <v>275737.60000000003</v>
      </c>
      <c r="R39" s="53">
        <f t="shared" si="28"/>
        <v>19199.999999999996</v>
      </c>
      <c r="S39" s="53"/>
      <c r="T39" s="52">
        <f t="shared" si="27"/>
        <v>36234579.3826093</v>
      </c>
      <c r="V39" s="52">
        <f>T6+T12+T17+T21+T26+T30+T34</f>
        <v>36234579.3826093</v>
      </c>
    </row>
    <row r="40" spans="1:22">
      <c r="A40" t="s">
        <v>26</v>
      </c>
      <c r="E40" s="53">
        <f>E7+E13+E18+E22+E27+E31+E36</f>
        <v>0</v>
      </c>
      <c r="F40" s="53">
        <f t="shared" ref="F40:R40" si="29">F7+F13+F18+F22+F27+F31+F36</f>
        <v>0</v>
      </c>
      <c r="G40" s="53">
        <f t="shared" si="29"/>
        <v>0</v>
      </c>
      <c r="H40" s="53">
        <f t="shared" si="29"/>
        <v>0</v>
      </c>
      <c r="I40" s="53">
        <f t="shared" si="29"/>
        <v>0</v>
      </c>
      <c r="J40" s="266">
        <f t="shared" si="29"/>
        <v>0</v>
      </c>
      <c r="K40" s="53">
        <f t="shared" si="29"/>
        <v>0</v>
      </c>
      <c r="L40" s="53">
        <f t="shared" si="29"/>
        <v>0</v>
      </c>
      <c r="M40" s="53">
        <f t="shared" si="29"/>
        <v>0</v>
      </c>
      <c r="N40" s="53">
        <f t="shared" si="29"/>
        <v>0</v>
      </c>
      <c r="O40" s="53">
        <f t="shared" si="29"/>
        <v>0</v>
      </c>
      <c r="P40" s="53">
        <f t="shared" si="29"/>
        <v>0</v>
      </c>
      <c r="Q40" s="53">
        <f t="shared" si="29"/>
        <v>0</v>
      </c>
      <c r="R40" s="53">
        <f t="shared" si="29"/>
        <v>0</v>
      </c>
      <c r="S40" s="53"/>
      <c r="T40" s="53">
        <f t="shared" ref="T40" si="30">T7+T13+T18</f>
        <v>0</v>
      </c>
    </row>
    <row r="43" spans="1:22">
      <c r="E43" s="53"/>
      <c r="F43" s="48"/>
      <c r="G43" s="48"/>
      <c r="T43" s="52">
        <f>T28+T24+T19+T15+T10+T4</f>
        <v>86867627.48215732</v>
      </c>
    </row>
    <row r="44" spans="1:22">
      <c r="T44" s="52">
        <f t="shared" ref="T44:T45" si="31">T5+T11+T16+T20+T25</f>
        <v>53950799.566214696</v>
      </c>
    </row>
    <row r="45" spans="1:22">
      <c r="T45" s="52">
        <f t="shared" si="31"/>
        <v>18026505.485942632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</vt:i4>
      </vt:variant>
    </vt:vector>
  </HeadingPairs>
  <TitlesOfParts>
    <vt:vector size="22" baseType="lpstr">
      <vt:lpstr>Eximbank 4</vt:lpstr>
      <vt:lpstr>credit eximbank 85</vt:lpstr>
      <vt:lpstr>CREDIT ref 7.2 MIO</vt:lpstr>
      <vt:lpstr>credit nou fd UE 7.5 mio</vt:lpstr>
      <vt:lpstr>UNICREDIT 2024</vt:lpstr>
      <vt:lpstr>credit trezo 2025</vt:lpstr>
      <vt:lpstr>credit nou 2026</vt:lpstr>
      <vt:lpstr>anexa 1.3</vt:lpstr>
      <vt:lpstr>centralizare credite</vt:lpstr>
      <vt:lpstr>grad indatorare</vt:lpstr>
      <vt:lpstr>anexa 1.4</vt:lpstr>
      <vt:lpstr>serv datoriei 2021-2023</vt:lpstr>
      <vt:lpstr>serv datoriei</vt:lpstr>
      <vt:lpstr>1.2 fara fonduri ue</vt:lpstr>
      <vt:lpstr>SD Eforie 10 ani</vt:lpstr>
      <vt:lpstr>2025</vt:lpstr>
      <vt:lpstr>dec 2024</vt:lpstr>
      <vt:lpstr>2023</vt:lpstr>
      <vt:lpstr>'1.2 fara fonduri ue'!Print_Area</vt:lpstr>
      <vt:lpstr>'anexa 1.3'!Print_Area</vt:lpstr>
      <vt:lpstr>'anexa 1.4'!Print_Area</vt:lpstr>
      <vt:lpstr>'grad indatorare'!Print_Area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radu badea</cp:lastModifiedBy>
  <cp:lastPrinted>2026-03-09T07:31:02Z</cp:lastPrinted>
  <dcterms:created xsi:type="dcterms:W3CDTF">2011-09-29T06:32:11Z</dcterms:created>
  <dcterms:modified xsi:type="dcterms:W3CDTF">2026-03-09T07:31:41Z</dcterms:modified>
</cp:coreProperties>
</file>